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mvl_gui\"/>
    </mc:Choice>
  </mc:AlternateContent>
  <bookViews>
    <workbookView xWindow="0" yWindow="0" windowWidth="28800" windowHeight="12795" activeTab="1"/>
  </bookViews>
  <sheets>
    <sheet name="WE 05-06-16" sheetId="5" r:id="rId1"/>
    <sheet name="WE 09-26-14" sheetId="6" r:id="rId2"/>
    <sheet name="WE 02-05-12" sheetId="4" r:id="rId3"/>
    <sheet name="WE 04-24-11" sheetId="3" r:id="rId4"/>
    <sheet name="WE 07-05-10" sheetId="2" r:id="rId5"/>
  </sheets>
  <externalReferences>
    <externalReference r:id="rId6"/>
  </externalReferences>
  <definedNames>
    <definedName name="_xlnm.Print_Area" localSheetId="2">'WE 02-05-12'!#REF!</definedName>
    <definedName name="_xlnm.Print_Area" localSheetId="3">'WE 04-24-11'!#REF!</definedName>
    <definedName name="_xlnm.Print_Area" localSheetId="0">'WE 05-06-16'!#REF!</definedName>
    <definedName name="_xlnm.Print_Area" localSheetId="4">'WE 07-05-10'!#REF!</definedName>
    <definedName name="_xlnm.Print_Area" localSheetId="1">'WE 09-26-14'!#REF!</definedName>
    <definedName name="test">#REF!</definedName>
    <definedName name="TOTAL_MEASUED_INCOME" localSheetId="2">'WE 02-05-12'!$Y$113</definedName>
    <definedName name="TOTAL_MEASUED_INCOME" localSheetId="3">'WE 04-24-11'!$Y$113</definedName>
    <definedName name="TOTAL_MEASUED_INCOME" localSheetId="0">'WE 05-06-16'!$Y$112</definedName>
    <definedName name="TOTAL_MEASUED_INCOME" localSheetId="4">'WE 07-05-10'!$Y$113</definedName>
    <definedName name="TOTAL_MEASUED_INCOME" localSheetId="1">'WE 09-26-14'!$Y$112</definedName>
    <definedName name="TOTAL_MEASUED_INCOM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U8" i="2" l="1"/>
  <c r="U134" i="6" l="1"/>
  <c r="V134" i="6" s="1"/>
  <c r="W134" i="6" s="1"/>
  <c r="Q134" i="6"/>
  <c r="U133" i="6"/>
  <c r="Q133" i="6"/>
  <c r="U131" i="6"/>
  <c r="V131" i="6" s="1"/>
  <c r="W131" i="6" s="1"/>
  <c r="Q131" i="6"/>
  <c r="U130" i="6"/>
  <c r="Q130" i="6"/>
  <c r="U129" i="6"/>
  <c r="V129" i="6" s="1"/>
  <c r="W129" i="6" s="1"/>
  <c r="Q129" i="6"/>
  <c r="U128" i="6"/>
  <c r="Q128" i="6"/>
  <c r="U127" i="6"/>
  <c r="V127" i="6" s="1"/>
  <c r="W127" i="6" s="1"/>
  <c r="Q127" i="6"/>
  <c r="U126" i="6"/>
  <c r="Q126" i="6"/>
  <c r="L122" i="6"/>
  <c r="L120" i="6"/>
  <c r="M122" i="6" s="1"/>
  <c r="Y118" i="6"/>
  <c r="V118" i="6"/>
  <c r="U118" i="6"/>
  <c r="L118" i="6"/>
  <c r="J118" i="6" s="1"/>
  <c r="J119" i="6" s="1"/>
  <c r="W117" i="6"/>
  <c r="S117" i="6"/>
  <c r="R117" i="6"/>
  <c r="S118" i="6" s="1"/>
  <c r="N117" i="6"/>
  <c r="M117" i="6"/>
  <c r="N118" i="6" s="1"/>
  <c r="W116" i="6"/>
  <c r="Q116" i="6"/>
  <c r="Q118" i="6" s="1"/>
  <c r="O118" i="6" s="1"/>
  <c r="O119" i="6" s="1"/>
  <c r="O116" i="6"/>
  <c r="O117" i="6" s="1"/>
  <c r="O122" i="6" s="1"/>
  <c r="L116" i="6"/>
  <c r="J116" i="6" s="1"/>
  <c r="J117" i="6" s="1"/>
  <c r="J122" i="6" s="1"/>
  <c r="W115" i="6"/>
  <c r="W114" i="6"/>
  <c r="Y119" i="6" s="1"/>
  <c r="Q114" i="6"/>
  <c r="L114" i="6"/>
  <c r="R113" i="6"/>
  <c r="M113" i="6"/>
  <c r="N113" i="6" s="1"/>
  <c r="K113" i="6"/>
  <c r="R112" i="6"/>
  <c r="S112" i="6" s="1"/>
  <c r="P112" i="6"/>
  <c r="N112" i="6"/>
  <c r="M112" i="6"/>
  <c r="K112" i="6"/>
  <c r="S111" i="6"/>
  <c r="R111" i="6"/>
  <c r="P111" i="6" s="1"/>
  <c r="M111" i="6"/>
  <c r="V110" i="6"/>
  <c r="Y110" i="6" s="1"/>
  <c r="S110" i="6"/>
  <c r="R110" i="6"/>
  <c r="P110" i="6"/>
  <c r="N110" i="6"/>
  <c r="M110" i="6"/>
  <c r="K110" i="6" s="1"/>
  <c r="D102" i="6"/>
  <c r="U82" i="6"/>
  <c r="O82" i="6"/>
  <c r="O83" i="6" s="1"/>
  <c r="U83" i="6" s="1"/>
  <c r="O81" i="6"/>
  <c r="U81" i="6" s="1"/>
  <c r="V74" i="6"/>
  <c r="O73" i="6"/>
  <c r="O74" i="6" s="1"/>
  <c r="U74" i="6" s="1"/>
  <c r="U71" i="6"/>
  <c r="O71" i="6"/>
  <c r="O72" i="6" s="1"/>
  <c r="U72" i="6" s="1"/>
  <c r="X70" i="6"/>
  <c r="X71" i="6" s="1"/>
  <c r="X72" i="6" s="1"/>
  <c r="X73" i="6" s="1"/>
  <c r="X74" i="6" s="1"/>
  <c r="X75" i="6" s="1"/>
  <c r="X76" i="6" s="1"/>
  <c r="X77" i="6" s="1"/>
  <c r="X78" i="6" s="1"/>
  <c r="X79" i="6" s="1"/>
  <c r="X81" i="6" s="1"/>
  <c r="X82" i="6" s="1"/>
  <c r="X83" i="6" s="1"/>
  <c r="X84" i="6" s="1"/>
  <c r="X85" i="6" s="1"/>
  <c r="X86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O70" i="6"/>
  <c r="U70" i="6" s="1"/>
  <c r="J70" i="6"/>
  <c r="C64" i="6"/>
  <c r="O60" i="6"/>
  <c r="O62" i="6" s="1"/>
  <c r="J60" i="6"/>
  <c r="J62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U36" i="6"/>
  <c r="O36" i="6"/>
  <c r="O37" i="6" s="1"/>
  <c r="U37" i="6" s="1"/>
  <c r="V37" i="6" s="1"/>
  <c r="V35" i="6"/>
  <c r="U34" i="6"/>
  <c r="O34" i="6"/>
  <c r="O35" i="6" s="1"/>
  <c r="U35" i="6" s="1"/>
  <c r="J34" i="6"/>
  <c r="Q33" i="6"/>
  <c r="O33" i="6"/>
  <c r="U33" i="6" s="1"/>
  <c r="V33" i="6" s="1"/>
  <c r="J33" i="6"/>
  <c r="D30" i="6"/>
  <c r="O103" i="6" s="1"/>
  <c r="C30" i="6"/>
  <c r="J103" i="6" s="1"/>
  <c r="V24" i="6"/>
  <c r="O24" i="6"/>
  <c r="C23" i="6"/>
  <c r="X20" i="6"/>
  <c r="X19" i="6"/>
  <c r="X18" i="6"/>
  <c r="C18" i="6"/>
  <c r="G13" i="6"/>
  <c r="C13" i="6"/>
  <c r="B13" i="6"/>
  <c r="G12" i="6"/>
  <c r="G11" i="6"/>
  <c r="W11" i="6" s="1"/>
  <c r="W10" i="6"/>
  <c r="M10" i="6"/>
  <c r="M13" i="6" s="1"/>
  <c r="G10" i="6"/>
  <c r="L9" i="6"/>
  <c r="G9" i="6"/>
  <c r="AD8" i="6"/>
  <c r="Z8" i="6"/>
  <c r="M8" i="6"/>
  <c r="G8" i="6"/>
  <c r="C8" i="6"/>
  <c r="B7" i="6"/>
  <c r="A3" i="6"/>
  <c r="A2" i="6"/>
  <c r="B1" i="6"/>
  <c r="U134" i="5"/>
  <c r="Q134" i="5"/>
  <c r="V134" i="5" s="1"/>
  <c r="W134" i="5" s="1"/>
  <c r="X133" i="5"/>
  <c r="U133" i="5"/>
  <c r="Q133" i="5"/>
  <c r="V133" i="5" s="1"/>
  <c r="W133" i="5" s="1"/>
  <c r="X131" i="5"/>
  <c r="U131" i="5"/>
  <c r="Q131" i="5"/>
  <c r="V131" i="5" s="1"/>
  <c r="W131" i="5" s="1"/>
  <c r="U130" i="5"/>
  <c r="Q130" i="5"/>
  <c r="V130" i="5" s="1"/>
  <c r="W130" i="5" s="1"/>
  <c r="U129" i="5"/>
  <c r="Q129" i="5"/>
  <c r="V129" i="5" s="1"/>
  <c r="W129" i="5" s="1"/>
  <c r="X128" i="5"/>
  <c r="U128" i="5"/>
  <c r="Q128" i="5"/>
  <c r="V128" i="5" s="1"/>
  <c r="W128" i="5" s="1"/>
  <c r="X127" i="5"/>
  <c r="U127" i="5"/>
  <c r="Q127" i="5"/>
  <c r="V127" i="5" s="1"/>
  <c r="W127" i="5" s="1"/>
  <c r="U126" i="5"/>
  <c r="Q126" i="5"/>
  <c r="V126" i="5" s="1"/>
  <c r="W126" i="5" s="1"/>
  <c r="L120" i="5"/>
  <c r="Y118" i="5"/>
  <c r="W117" i="5"/>
  <c r="S117" i="5"/>
  <c r="R117" i="5"/>
  <c r="S118" i="5" s="1"/>
  <c r="N117" i="5"/>
  <c r="M117" i="5"/>
  <c r="N118" i="5" s="1"/>
  <c r="W116" i="5"/>
  <c r="Q116" i="5"/>
  <c r="L116" i="5"/>
  <c r="L118" i="5" s="1"/>
  <c r="J118" i="5" s="1"/>
  <c r="J119" i="5" s="1"/>
  <c r="W115" i="5"/>
  <c r="W114" i="5"/>
  <c r="Q114" i="5"/>
  <c r="L114" i="5"/>
  <c r="R113" i="5"/>
  <c r="S113" i="5" s="1"/>
  <c r="N113" i="5"/>
  <c r="M113" i="5"/>
  <c r="K113" i="5"/>
  <c r="S112" i="5"/>
  <c r="R112" i="5"/>
  <c r="P112" i="5"/>
  <c r="M112" i="5"/>
  <c r="S111" i="5"/>
  <c r="R111" i="5"/>
  <c r="P111" i="5"/>
  <c r="M111" i="5"/>
  <c r="N111" i="5" s="1"/>
  <c r="V110" i="5"/>
  <c r="Y110" i="5" s="1"/>
  <c r="R110" i="5"/>
  <c r="N110" i="5"/>
  <c r="M110" i="5"/>
  <c r="K110" i="5"/>
  <c r="D102" i="5"/>
  <c r="O81" i="5"/>
  <c r="O82" i="5" s="1"/>
  <c r="J81" i="5"/>
  <c r="Q81" i="5" s="1"/>
  <c r="R81" i="5" s="1"/>
  <c r="Q79" i="5"/>
  <c r="Q78" i="5"/>
  <c r="Q77" i="5"/>
  <c r="Q76" i="5"/>
  <c r="Q75" i="5"/>
  <c r="Q74" i="5"/>
  <c r="Q73" i="5"/>
  <c r="Q72" i="5"/>
  <c r="R72" i="5" s="1"/>
  <c r="Q71" i="5"/>
  <c r="R71" i="5" s="1"/>
  <c r="AB70" i="5"/>
  <c r="X70" i="5"/>
  <c r="X71" i="5" s="1"/>
  <c r="X72" i="5" s="1"/>
  <c r="X73" i="5" s="1"/>
  <c r="X74" i="5" s="1"/>
  <c r="X75" i="5" s="1"/>
  <c r="X76" i="5" s="1"/>
  <c r="X77" i="5" s="1"/>
  <c r="X78" i="5" s="1"/>
  <c r="X79" i="5" s="1"/>
  <c r="X81" i="5" s="1"/>
  <c r="X82" i="5" s="1"/>
  <c r="X83" i="5" s="1"/>
  <c r="X84" i="5" s="1"/>
  <c r="X85" i="5" s="1"/>
  <c r="X86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Q70" i="5"/>
  <c r="O70" i="5"/>
  <c r="O71" i="5" s="1"/>
  <c r="AB71" i="5" s="1"/>
  <c r="J70" i="5"/>
  <c r="J71" i="5" s="1"/>
  <c r="J72" i="5" s="1"/>
  <c r="J73" i="5" s="1"/>
  <c r="J74" i="5" s="1"/>
  <c r="J75" i="5" s="1"/>
  <c r="J76" i="5" s="1"/>
  <c r="J77" i="5" s="1"/>
  <c r="J78" i="5" s="1"/>
  <c r="J79" i="5" s="1"/>
  <c r="C64" i="5"/>
  <c r="O62" i="5"/>
  <c r="J62" i="5"/>
  <c r="O60" i="5"/>
  <c r="J60" i="5"/>
  <c r="O47" i="5"/>
  <c r="O48" i="5" s="1"/>
  <c r="E47" i="5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J34" i="5"/>
  <c r="V33" i="5"/>
  <c r="Q33" i="5"/>
  <c r="O33" i="5"/>
  <c r="U33" i="5" s="1"/>
  <c r="J33" i="5"/>
  <c r="D30" i="5"/>
  <c r="C30" i="5"/>
  <c r="C23" i="5"/>
  <c r="X20" i="5"/>
  <c r="X19" i="5"/>
  <c r="X18" i="5"/>
  <c r="C18" i="5"/>
  <c r="G13" i="5"/>
  <c r="G12" i="5"/>
  <c r="G11" i="5"/>
  <c r="M10" i="5"/>
  <c r="M13" i="5" s="1"/>
  <c r="G10" i="5"/>
  <c r="L9" i="5"/>
  <c r="G9" i="5"/>
  <c r="W9" i="5" s="1"/>
  <c r="AD8" i="5"/>
  <c r="Z8" i="5"/>
  <c r="M8" i="5"/>
  <c r="O24" i="5" s="1"/>
  <c r="G8" i="5"/>
  <c r="W8" i="5" s="1"/>
  <c r="B7" i="5"/>
  <c r="C13" i="5" s="1"/>
  <c r="A3" i="5"/>
  <c r="B1" i="5"/>
  <c r="A1" i="5" s="1"/>
  <c r="X134" i="4"/>
  <c r="U134" i="4"/>
  <c r="O134" i="4"/>
  <c r="V134" i="4" s="1"/>
  <c r="W134" i="4" s="1"/>
  <c r="X133" i="4"/>
  <c r="U133" i="4"/>
  <c r="O133" i="4"/>
  <c r="V133" i="4" s="1"/>
  <c r="W133" i="4" s="1"/>
  <c r="D132" i="4"/>
  <c r="U131" i="4"/>
  <c r="V131" i="4" s="1"/>
  <c r="W131" i="4" s="1"/>
  <c r="O131" i="4"/>
  <c r="U130" i="4"/>
  <c r="V130" i="4" s="1"/>
  <c r="W130" i="4" s="1"/>
  <c r="O130" i="4"/>
  <c r="U129" i="4"/>
  <c r="V129" i="4" s="1"/>
  <c r="W129" i="4" s="1"/>
  <c r="O129" i="4"/>
  <c r="U128" i="4"/>
  <c r="V128" i="4" s="1"/>
  <c r="W128" i="4" s="1"/>
  <c r="O128" i="4"/>
  <c r="U127" i="4"/>
  <c r="V127" i="4" s="1"/>
  <c r="W127" i="4" s="1"/>
  <c r="O127" i="4"/>
  <c r="U126" i="4"/>
  <c r="V126" i="4" s="1"/>
  <c r="W126" i="4" s="1"/>
  <c r="O126" i="4"/>
  <c r="AC124" i="4"/>
  <c r="M120" i="4"/>
  <c r="F119" i="4"/>
  <c r="AA118" i="4"/>
  <c r="Y118" i="4"/>
  <c r="AI117" i="4"/>
  <c r="AF117" i="4"/>
  <c r="AC117" i="4"/>
  <c r="AB117" i="4"/>
  <c r="W117" i="4"/>
  <c r="W118" i="4" s="1"/>
  <c r="S117" i="4"/>
  <c r="U117" i="4" s="1"/>
  <c r="Q117" i="4"/>
  <c r="F117" i="4"/>
  <c r="E117" i="4"/>
  <c r="AI116" i="4"/>
  <c r="AF116" i="4"/>
  <c r="AC116" i="4" s="1"/>
  <c r="AB116" i="4"/>
  <c r="W116" i="4"/>
  <c r="U116" i="4"/>
  <c r="S116" i="4"/>
  <c r="Q116" i="4"/>
  <c r="AI115" i="4"/>
  <c r="AF115" i="4"/>
  <c r="AC115" i="4" s="1"/>
  <c r="AB115" i="4"/>
  <c r="W115" i="4"/>
  <c r="U115" i="4"/>
  <c r="S115" i="4"/>
  <c r="Q115" i="4"/>
  <c r="AI114" i="4"/>
  <c r="AI118" i="4" s="1"/>
  <c r="AI120" i="4" s="1"/>
  <c r="AF114" i="4"/>
  <c r="AF118" i="4" s="1"/>
  <c r="AB114" i="4"/>
  <c r="W114" i="4"/>
  <c r="Y119" i="4" s="1"/>
  <c r="Y120" i="4" s="1"/>
  <c r="U114" i="4"/>
  <c r="S114" i="4"/>
  <c r="Q114" i="4"/>
  <c r="Q118" i="4" s="1"/>
  <c r="G109" i="4"/>
  <c r="Y111" i="4" s="1"/>
  <c r="G106" i="4"/>
  <c r="D102" i="4"/>
  <c r="X92" i="4"/>
  <c r="X93" i="4" s="1"/>
  <c r="X94" i="4" s="1"/>
  <c r="X95" i="4" s="1"/>
  <c r="X96" i="4" s="1"/>
  <c r="X97" i="4" s="1"/>
  <c r="X98" i="4" s="1"/>
  <c r="X99" i="4" s="1"/>
  <c r="X100" i="4" s="1"/>
  <c r="X101" i="4" s="1"/>
  <c r="J71" i="4"/>
  <c r="X70" i="4"/>
  <c r="X71" i="4" s="1"/>
  <c r="X72" i="4" s="1"/>
  <c r="X73" i="4" s="1"/>
  <c r="X74" i="4" s="1"/>
  <c r="X75" i="4" s="1"/>
  <c r="X76" i="4" s="1"/>
  <c r="X77" i="4" s="1"/>
  <c r="X78" i="4" s="1"/>
  <c r="X79" i="4" s="1"/>
  <c r="X81" i="4" s="1"/>
  <c r="X82" i="4" s="1"/>
  <c r="X83" i="4" s="1"/>
  <c r="X84" i="4" s="1"/>
  <c r="X85" i="4" s="1"/>
  <c r="X86" i="4" s="1"/>
  <c r="X88" i="4" s="1"/>
  <c r="X89" i="4" s="1"/>
  <c r="X90" i="4" s="1"/>
  <c r="X91" i="4" s="1"/>
  <c r="U70" i="4"/>
  <c r="O70" i="4"/>
  <c r="O71" i="4" s="1"/>
  <c r="U71" i="4" s="1"/>
  <c r="J70" i="4"/>
  <c r="Q70" i="4" s="1"/>
  <c r="C64" i="4"/>
  <c r="AE63" i="4"/>
  <c r="AE62" i="4"/>
  <c r="O62" i="4"/>
  <c r="AE61" i="4"/>
  <c r="AF60" i="4"/>
  <c r="AF61" i="4" s="1"/>
  <c r="AF62" i="4" s="1"/>
  <c r="AF63" i="4" s="1"/>
  <c r="AE60" i="4"/>
  <c r="O60" i="4"/>
  <c r="J60" i="4"/>
  <c r="AE59" i="4"/>
  <c r="AF47" i="4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E47" i="4"/>
  <c r="E47" i="4"/>
  <c r="E48" i="4" s="1"/>
  <c r="AE46" i="4"/>
  <c r="AE44" i="4"/>
  <c r="AE43" i="4"/>
  <c r="AE42" i="4"/>
  <c r="AE41" i="4"/>
  <c r="AF40" i="4"/>
  <c r="AF41" i="4" s="1"/>
  <c r="AF42" i="4" s="1"/>
  <c r="AF43" i="4" s="1"/>
  <c r="AF44" i="4" s="1"/>
  <c r="AE40" i="4"/>
  <c r="AE39" i="4"/>
  <c r="AF37" i="4"/>
  <c r="AE37" i="4"/>
  <c r="AE36" i="4"/>
  <c r="AF35" i="4"/>
  <c r="AE35" i="4"/>
  <c r="AE34" i="4"/>
  <c r="AE33" i="4"/>
  <c r="O33" i="4"/>
  <c r="O34" i="4" s="1"/>
  <c r="J33" i="4"/>
  <c r="J34" i="4" s="1"/>
  <c r="D30" i="4"/>
  <c r="C30" i="4"/>
  <c r="A30" i="4"/>
  <c r="A67" i="4" s="1"/>
  <c r="C23" i="4"/>
  <c r="X20" i="4"/>
  <c r="X19" i="4"/>
  <c r="X18" i="4"/>
  <c r="C18" i="4"/>
  <c r="M13" i="4"/>
  <c r="W13" i="4" s="1"/>
  <c r="G13" i="4"/>
  <c r="C13" i="4"/>
  <c r="G11" i="4"/>
  <c r="W10" i="4"/>
  <c r="M10" i="4"/>
  <c r="G10" i="4"/>
  <c r="L9" i="4"/>
  <c r="W9" i="4" s="1"/>
  <c r="G9" i="4"/>
  <c r="Z8" i="4"/>
  <c r="M8" i="4"/>
  <c r="O24" i="4" s="1"/>
  <c r="G8" i="4"/>
  <c r="F8" i="4"/>
  <c r="F11" i="4" s="1"/>
  <c r="F10" i="4" s="1"/>
  <c r="F9" i="4" s="1"/>
  <c r="C8" i="4"/>
  <c r="C11" i="4" s="1"/>
  <c r="Y7" i="4"/>
  <c r="E7" i="4"/>
  <c r="F13" i="4" s="1"/>
  <c r="B7" i="4"/>
  <c r="A3" i="4"/>
  <c r="A2" i="4"/>
  <c r="B1" i="4"/>
  <c r="A1" i="4"/>
  <c r="B1" i="3"/>
  <c r="A1" i="3" s="1"/>
  <c r="A2" i="3"/>
  <c r="A3" i="3"/>
  <c r="B7" i="3"/>
  <c r="C8" i="3" s="1"/>
  <c r="E7" i="3"/>
  <c r="F13" i="3" s="1"/>
  <c r="N7" i="3"/>
  <c r="F8" i="3"/>
  <c r="F11" i="3" s="1"/>
  <c r="F10" i="3" s="1"/>
  <c r="G8" i="3"/>
  <c r="M8" i="3"/>
  <c r="E9" i="3"/>
  <c r="G9" i="3" s="1"/>
  <c r="F9" i="3"/>
  <c r="L9" i="3"/>
  <c r="G10" i="3"/>
  <c r="M10" i="3"/>
  <c r="C11" i="3"/>
  <c r="G11" i="3"/>
  <c r="W12" i="3"/>
  <c r="G13" i="3"/>
  <c r="W13" i="3" s="1"/>
  <c r="M13" i="3"/>
  <c r="C18" i="3"/>
  <c r="X18" i="3"/>
  <c r="X19" i="3"/>
  <c r="X20" i="3"/>
  <c r="C23" i="3"/>
  <c r="O24" i="3"/>
  <c r="C30" i="3"/>
  <c r="C67" i="3" s="1"/>
  <c r="D30" i="3"/>
  <c r="J33" i="3"/>
  <c r="O33" i="3"/>
  <c r="U33" i="3" s="1"/>
  <c r="V33" i="3" s="1"/>
  <c r="AE33" i="3"/>
  <c r="AE34" i="3"/>
  <c r="AE35" i="3"/>
  <c r="AF35" i="3"/>
  <c r="AE36" i="3"/>
  <c r="AE37" i="3"/>
  <c r="AF37" i="3"/>
  <c r="AE39" i="3"/>
  <c r="AE40" i="3"/>
  <c r="AF40" i="3"/>
  <c r="AE41" i="3"/>
  <c r="AF41" i="3"/>
  <c r="AF42" i="3" s="1"/>
  <c r="AF43" i="3" s="1"/>
  <c r="AF44" i="3" s="1"/>
  <c r="AE42" i="3"/>
  <c r="AE43" i="3"/>
  <c r="AE44" i="3"/>
  <c r="AE46" i="3"/>
  <c r="AE47" i="3"/>
  <c r="AF47" i="3"/>
  <c r="AE48" i="3"/>
  <c r="AF48" i="3"/>
  <c r="AF49" i="3" s="1"/>
  <c r="AF50" i="3" s="1"/>
  <c r="AF51" i="3" s="1"/>
  <c r="AF52" i="3" s="1"/>
  <c r="AF53" i="3" s="1"/>
  <c r="AF54" i="3" s="1"/>
  <c r="AF55" i="3" s="1"/>
  <c r="AF56" i="3" s="1"/>
  <c r="AF57" i="3" s="1"/>
  <c r="AE49" i="3"/>
  <c r="AE50" i="3"/>
  <c r="AE51" i="3"/>
  <c r="AE52" i="3"/>
  <c r="AE53" i="3"/>
  <c r="AE54" i="3"/>
  <c r="AE55" i="3"/>
  <c r="AE56" i="3"/>
  <c r="AE57" i="3"/>
  <c r="AE59" i="3"/>
  <c r="J60" i="3"/>
  <c r="O60" i="3"/>
  <c r="AE60" i="3"/>
  <c r="AF60" i="3"/>
  <c r="AE61" i="3"/>
  <c r="AF61" i="3"/>
  <c r="AF62" i="3" s="1"/>
  <c r="AF63" i="3" s="1"/>
  <c r="O62" i="3"/>
  <c r="AE62" i="3"/>
  <c r="AE63" i="3"/>
  <c r="C64" i="3"/>
  <c r="D67" i="3"/>
  <c r="F67" i="3" s="1"/>
  <c r="L70" i="3" s="1"/>
  <c r="L71" i="3" s="1"/>
  <c r="J70" i="3"/>
  <c r="Q70" i="3" s="1"/>
  <c r="O70" i="3"/>
  <c r="O71" i="3" s="1"/>
  <c r="U71" i="3" s="1"/>
  <c r="U70" i="3"/>
  <c r="X70" i="3"/>
  <c r="X71" i="3" s="1"/>
  <c r="X72" i="3" s="1"/>
  <c r="X73" i="3" s="1"/>
  <c r="X74" i="3" s="1"/>
  <c r="X75" i="3" s="1"/>
  <c r="X76" i="3" s="1"/>
  <c r="X77" i="3" s="1"/>
  <c r="X78" i="3" s="1"/>
  <c r="X79" i="3" s="1"/>
  <c r="X81" i="3" s="1"/>
  <c r="X82" i="3" s="1"/>
  <c r="X83" i="3" s="1"/>
  <c r="X84" i="3" s="1"/>
  <c r="X85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J71" i="3"/>
  <c r="O72" i="3"/>
  <c r="O73" i="3" s="1"/>
  <c r="U73" i="3" s="1"/>
  <c r="U72" i="3"/>
  <c r="D102" i="3"/>
  <c r="Q104" i="3"/>
  <c r="U104" i="3"/>
  <c r="G106" i="3"/>
  <c r="G109" i="3" s="1"/>
  <c r="Y111" i="3" s="1"/>
  <c r="Q114" i="3"/>
  <c r="S114" i="3"/>
  <c r="U114" i="3"/>
  <c r="W114" i="3"/>
  <c r="AB114" i="3"/>
  <c r="AF114" i="3"/>
  <c r="AI114" i="3"/>
  <c r="Q115" i="3"/>
  <c r="S115" i="3"/>
  <c r="U115" i="3" s="1"/>
  <c r="U118" i="3" s="1"/>
  <c r="U120" i="3" s="1"/>
  <c r="U122" i="3" s="1"/>
  <c r="M122" i="3" s="1"/>
  <c r="W115" i="3"/>
  <c r="AB115" i="3"/>
  <c r="AF115" i="3"/>
  <c r="AC115" i="3" s="1"/>
  <c r="AI115" i="3"/>
  <c r="Q116" i="3"/>
  <c r="S116" i="3"/>
  <c r="U116" i="3"/>
  <c r="W116" i="3"/>
  <c r="AB116" i="3"/>
  <c r="AF116" i="3"/>
  <c r="AI116" i="3"/>
  <c r="E117" i="3"/>
  <c r="F117" i="3"/>
  <c r="G117" i="3"/>
  <c r="Q117" i="3"/>
  <c r="Q118" i="3" s="1"/>
  <c r="S117" i="3"/>
  <c r="U117" i="3"/>
  <c r="W117" i="3"/>
  <c r="AB117" i="3"/>
  <c r="AF117" i="3"/>
  <c r="AI117" i="3"/>
  <c r="F118" i="3"/>
  <c r="Y118" i="3"/>
  <c r="Q122" i="3"/>
  <c r="AC124" i="3"/>
  <c r="O126" i="3"/>
  <c r="U126" i="3"/>
  <c r="V126" i="3" s="1"/>
  <c r="W126" i="3" s="1"/>
  <c r="O127" i="3"/>
  <c r="V127" i="3" s="1"/>
  <c r="W127" i="3" s="1"/>
  <c r="U127" i="3"/>
  <c r="O128" i="3"/>
  <c r="U128" i="3"/>
  <c r="O129" i="3"/>
  <c r="U129" i="3"/>
  <c r="V129" i="3"/>
  <c r="W129" i="3" s="1"/>
  <c r="O130" i="3"/>
  <c r="U130" i="3"/>
  <c r="V130" i="3" s="1"/>
  <c r="W130" i="3" s="1"/>
  <c r="O131" i="3"/>
  <c r="V131" i="3" s="1"/>
  <c r="W131" i="3" s="1"/>
  <c r="U131" i="3"/>
  <c r="D132" i="3"/>
  <c r="O133" i="3"/>
  <c r="U133" i="3"/>
  <c r="O134" i="3"/>
  <c r="U134" i="3"/>
  <c r="V134" i="3" s="1"/>
  <c r="W134" i="3" s="1"/>
  <c r="Z134" i="3" s="1"/>
  <c r="U134" i="2"/>
  <c r="V134" i="2" s="1"/>
  <c r="W134" i="2" s="1"/>
  <c r="O134" i="2"/>
  <c r="U133" i="2"/>
  <c r="V133" i="2" s="1"/>
  <c r="W133" i="2" s="1"/>
  <c r="Z133" i="2" s="1"/>
  <c r="O133" i="2"/>
  <c r="U131" i="2"/>
  <c r="V131" i="2" s="1"/>
  <c r="W131" i="2" s="1"/>
  <c r="O131" i="2"/>
  <c r="U130" i="2"/>
  <c r="V130" i="2" s="1"/>
  <c r="W130" i="2" s="1"/>
  <c r="Z130" i="2" s="1"/>
  <c r="O130" i="2"/>
  <c r="U129" i="2"/>
  <c r="V129" i="2" s="1"/>
  <c r="W129" i="2" s="1"/>
  <c r="O129" i="2"/>
  <c r="U128" i="2"/>
  <c r="V128" i="2" s="1"/>
  <c r="W128" i="2" s="1"/>
  <c r="O128" i="2"/>
  <c r="U127" i="2"/>
  <c r="O127" i="2"/>
  <c r="V127" i="2" s="1"/>
  <c r="W127" i="2" s="1"/>
  <c r="U126" i="2"/>
  <c r="O126" i="2"/>
  <c r="V126" i="2" s="1"/>
  <c r="W126" i="2" s="1"/>
  <c r="AA118" i="2"/>
  <c r="Y118" i="2"/>
  <c r="W117" i="2"/>
  <c r="S117" i="2"/>
  <c r="U117" i="2" s="1"/>
  <c r="Q117" i="2"/>
  <c r="F117" i="2"/>
  <c r="E117" i="2"/>
  <c r="W116" i="2"/>
  <c r="U116" i="2"/>
  <c r="S116" i="2"/>
  <c r="Q116" i="2"/>
  <c r="W115" i="2"/>
  <c r="U115" i="2"/>
  <c r="S115" i="2"/>
  <c r="Q115" i="2"/>
  <c r="W114" i="2"/>
  <c r="U114" i="2"/>
  <c r="S114" i="2"/>
  <c r="Q114" i="2"/>
  <c r="G106" i="2"/>
  <c r="G109" i="2" s="1"/>
  <c r="Y111" i="2" s="1"/>
  <c r="Q104" i="2"/>
  <c r="D102" i="2"/>
  <c r="X70" i="2"/>
  <c r="X71" i="2" s="1"/>
  <c r="X72" i="2" s="1"/>
  <c r="X73" i="2" s="1"/>
  <c r="X74" i="2" s="1"/>
  <c r="X75" i="2" s="1"/>
  <c r="X76" i="2" s="1"/>
  <c r="X77" i="2" s="1"/>
  <c r="X78" i="2" s="1"/>
  <c r="X79" i="2" s="1"/>
  <c r="X81" i="2" s="1"/>
  <c r="X82" i="2" s="1"/>
  <c r="X83" i="2" s="1"/>
  <c r="X84" i="2" s="1"/>
  <c r="X85" i="2" s="1"/>
  <c r="X86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Q70" i="2"/>
  <c r="O70" i="2"/>
  <c r="U70" i="2" s="1"/>
  <c r="V70" i="2" s="1"/>
  <c r="J70" i="2"/>
  <c r="J71" i="2" s="1"/>
  <c r="J72" i="2" s="1"/>
  <c r="D67" i="2"/>
  <c r="C64" i="2"/>
  <c r="AD63" i="2"/>
  <c r="AD62" i="2"/>
  <c r="AD61" i="2"/>
  <c r="AE60" i="2"/>
  <c r="AE61" i="2" s="1"/>
  <c r="AE62" i="2" s="1"/>
  <c r="AE63" i="2" s="1"/>
  <c r="AF63" i="2" s="1"/>
  <c r="AD60" i="2"/>
  <c r="O60" i="2"/>
  <c r="O62" i="2" s="1"/>
  <c r="J60" i="2"/>
  <c r="AF59" i="2"/>
  <c r="AD59" i="2"/>
  <c r="AD57" i="2"/>
  <c r="AD56" i="2"/>
  <c r="AD55" i="2"/>
  <c r="AD54" i="2"/>
  <c r="AD53" i="2"/>
  <c r="AD52" i="2"/>
  <c r="AD51" i="2"/>
  <c r="AD50" i="2"/>
  <c r="AD49" i="2"/>
  <c r="AE48" i="2"/>
  <c r="AE49" i="2" s="1"/>
  <c r="AD48" i="2"/>
  <c r="AE47" i="2"/>
  <c r="AF47" i="2" s="1"/>
  <c r="AD47" i="2"/>
  <c r="AF46" i="2"/>
  <c r="AD46" i="2"/>
  <c r="AD44" i="2"/>
  <c r="AD43" i="2"/>
  <c r="AD42" i="2"/>
  <c r="AD41" i="2"/>
  <c r="AE40" i="2"/>
  <c r="AF40" i="2" s="1"/>
  <c r="AD40" i="2"/>
  <c r="AF39" i="2"/>
  <c r="AD39" i="2"/>
  <c r="AE37" i="2"/>
  <c r="AF37" i="2" s="1"/>
  <c r="AD37" i="2"/>
  <c r="AF36" i="2"/>
  <c r="AD36" i="2"/>
  <c r="AE35" i="2"/>
  <c r="AF35" i="2" s="1"/>
  <c r="AD35" i="2"/>
  <c r="AF34" i="2"/>
  <c r="AD34" i="2"/>
  <c r="U34" i="2"/>
  <c r="AF33" i="2"/>
  <c r="AD33" i="2"/>
  <c r="U33" i="2"/>
  <c r="O33" i="2"/>
  <c r="O34" i="2" s="1"/>
  <c r="O35" i="2" s="1"/>
  <c r="J33" i="2"/>
  <c r="J34" i="2" s="1"/>
  <c r="E30" i="2"/>
  <c r="D30" i="2"/>
  <c r="U104" i="2" s="1"/>
  <c r="C30" i="2"/>
  <c r="C67" i="2" s="1"/>
  <c r="A30" i="2"/>
  <c r="A67" i="2" s="1"/>
  <c r="O24" i="2"/>
  <c r="C23" i="2"/>
  <c r="X20" i="2"/>
  <c r="X19" i="2"/>
  <c r="X18" i="2"/>
  <c r="C18" i="2"/>
  <c r="G13" i="2"/>
  <c r="C13" i="2"/>
  <c r="G11" i="2"/>
  <c r="M10" i="2"/>
  <c r="M13" i="2" s="1"/>
  <c r="G10" i="2"/>
  <c r="L9" i="2"/>
  <c r="G9" i="2"/>
  <c r="M8" i="2"/>
  <c r="G8" i="2"/>
  <c r="C8" i="2"/>
  <c r="N7" i="2"/>
  <c r="E7" i="2"/>
  <c r="F13" i="2" s="1"/>
  <c r="B7" i="2"/>
  <c r="A3" i="2"/>
  <c r="A2" i="2"/>
  <c r="A1" i="2"/>
  <c r="C8" i="5" l="1"/>
  <c r="C11" i="5" s="1"/>
  <c r="A30" i="5"/>
  <c r="A67" i="5" s="1"/>
  <c r="E7" i="5"/>
  <c r="F13" i="5" s="1"/>
  <c r="I13" i="5" s="1"/>
  <c r="J13" i="5" s="1"/>
  <c r="N13" i="5" s="1"/>
  <c r="O13" i="5" s="1"/>
  <c r="U13" i="5" s="1"/>
  <c r="A30" i="6"/>
  <c r="A67" i="6" s="1"/>
  <c r="A1" i="6"/>
  <c r="E7" i="6"/>
  <c r="W9" i="6"/>
  <c r="W12" i="6"/>
  <c r="W13" i="6"/>
  <c r="C11" i="6"/>
  <c r="O39" i="6"/>
  <c r="J71" i="6"/>
  <c r="Q70" i="6"/>
  <c r="V36" i="6"/>
  <c r="C67" i="6"/>
  <c r="Y33" i="6"/>
  <c r="W35" i="6"/>
  <c r="V83" i="6"/>
  <c r="O84" i="6"/>
  <c r="J35" i="6"/>
  <c r="Q34" i="6"/>
  <c r="R34" i="6" s="1"/>
  <c r="U24" i="6"/>
  <c r="X24" i="6" s="1"/>
  <c r="W24" i="6"/>
  <c r="R33" i="6"/>
  <c r="Y34" i="6"/>
  <c r="V34" i="6"/>
  <c r="V71" i="6"/>
  <c r="V81" i="6"/>
  <c r="V82" i="6"/>
  <c r="D67" i="6"/>
  <c r="U73" i="6"/>
  <c r="Z127" i="6"/>
  <c r="X127" i="6"/>
  <c r="Y127" i="6" s="1"/>
  <c r="AA127" i="6" s="1"/>
  <c r="Y70" i="6"/>
  <c r="V70" i="6"/>
  <c r="Z131" i="6"/>
  <c r="Y131" i="6"/>
  <c r="AA131" i="6" s="1"/>
  <c r="X131" i="6"/>
  <c r="F30" i="6"/>
  <c r="L33" i="6" s="1"/>
  <c r="L34" i="6" s="1"/>
  <c r="L35" i="6" s="1"/>
  <c r="L36" i="6" s="1"/>
  <c r="L37" i="6" s="1"/>
  <c r="L39" i="6" s="1"/>
  <c r="L40" i="6" s="1"/>
  <c r="L41" i="6" s="1"/>
  <c r="L42" i="6" s="1"/>
  <c r="L43" i="6" s="1"/>
  <c r="L44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9" i="6" s="1"/>
  <c r="L60" i="6" s="1"/>
  <c r="L61" i="6" s="1"/>
  <c r="L62" i="6" s="1"/>
  <c r="L63" i="6" s="1"/>
  <c r="V72" i="6"/>
  <c r="O75" i="6"/>
  <c r="K111" i="6"/>
  <c r="N111" i="6"/>
  <c r="N114" i="6" s="1"/>
  <c r="V126" i="6"/>
  <c r="W126" i="6" s="1"/>
  <c r="V130" i="6"/>
  <c r="W130" i="6" s="1"/>
  <c r="N122" i="6"/>
  <c r="Z129" i="6"/>
  <c r="Z134" i="6"/>
  <c r="P113" i="6"/>
  <c r="S113" i="6"/>
  <c r="S114" i="6" s="1"/>
  <c r="Y120" i="6"/>
  <c r="Q122" i="6"/>
  <c r="V128" i="6"/>
  <c r="W128" i="6" s="1"/>
  <c r="X129" i="6"/>
  <c r="Y129" i="6" s="1"/>
  <c r="AA129" i="6" s="1"/>
  <c r="V133" i="6"/>
  <c r="W133" i="6" s="1"/>
  <c r="X134" i="6"/>
  <c r="Y134" i="6" s="1"/>
  <c r="AA134" i="6" s="1"/>
  <c r="Q120" i="6"/>
  <c r="R122" i="6" s="1"/>
  <c r="S122" i="6" s="1"/>
  <c r="W118" i="6"/>
  <c r="W120" i="6" s="1"/>
  <c r="W10" i="5"/>
  <c r="W25" i="5" s="1"/>
  <c r="W11" i="5"/>
  <c r="O49" i="5"/>
  <c r="AB48" i="5"/>
  <c r="U48" i="5"/>
  <c r="W23" i="5"/>
  <c r="V23" i="5"/>
  <c r="U23" i="5"/>
  <c r="W13" i="5"/>
  <c r="J103" i="5"/>
  <c r="F30" i="5"/>
  <c r="L33" i="5" s="1"/>
  <c r="L34" i="5" s="1"/>
  <c r="L35" i="5" s="1"/>
  <c r="L36" i="5" s="1"/>
  <c r="L37" i="5" s="1"/>
  <c r="L39" i="5" s="1"/>
  <c r="L40" i="5" s="1"/>
  <c r="L41" i="5" s="1"/>
  <c r="L42" i="5" s="1"/>
  <c r="L43" i="5" s="1"/>
  <c r="L44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9" i="5" s="1"/>
  <c r="L60" i="5" s="1"/>
  <c r="L61" i="5" s="1"/>
  <c r="L62" i="5" s="1"/>
  <c r="L63" i="5" s="1"/>
  <c r="C67" i="5"/>
  <c r="E67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1" i="5" s="1"/>
  <c r="G82" i="5" s="1"/>
  <c r="G83" i="5" s="1"/>
  <c r="G84" i="5" s="1"/>
  <c r="G85" i="5" s="1"/>
  <c r="G86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Y33" i="5"/>
  <c r="J35" i="5"/>
  <c r="Q34" i="5"/>
  <c r="R34" i="5" s="1"/>
  <c r="R33" i="5"/>
  <c r="O103" i="5"/>
  <c r="D67" i="5"/>
  <c r="F67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1" i="5" s="1"/>
  <c r="L82" i="5" s="1"/>
  <c r="L83" i="5" s="1"/>
  <c r="L84" i="5" s="1"/>
  <c r="L85" i="5" s="1"/>
  <c r="L86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AB33" i="5"/>
  <c r="AC33" i="5" s="1"/>
  <c r="O83" i="5"/>
  <c r="AB82" i="5"/>
  <c r="U82" i="5"/>
  <c r="K112" i="5"/>
  <c r="N112" i="5"/>
  <c r="R70" i="5"/>
  <c r="R75" i="5"/>
  <c r="R79" i="5"/>
  <c r="O34" i="5"/>
  <c r="R74" i="5"/>
  <c r="R76" i="5"/>
  <c r="R78" i="5"/>
  <c r="R73" i="5"/>
  <c r="R77" i="5"/>
  <c r="J82" i="5"/>
  <c r="Z126" i="5"/>
  <c r="Y126" i="5"/>
  <c r="AA126" i="5" s="1"/>
  <c r="X126" i="5"/>
  <c r="O72" i="5"/>
  <c r="U71" i="5"/>
  <c r="U70" i="5"/>
  <c r="AC70" i="5" s="1"/>
  <c r="U81" i="5"/>
  <c r="N114" i="5"/>
  <c r="AB81" i="5"/>
  <c r="AC81" i="5" s="1"/>
  <c r="P110" i="5"/>
  <c r="S110" i="5"/>
  <c r="S114" i="5" s="1"/>
  <c r="M122" i="5"/>
  <c r="N122" i="5" s="1"/>
  <c r="Z130" i="5"/>
  <c r="Y130" i="5"/>
  <c r="AA130" i="5" s="1"/>
  <c r="X130" i="5"/>
  <c r="Y119" i="5"/>
  <c r="Y120" i="5" s="1"/>
  <c r="Z129" i="5"/>
  <c r="Z134" i="5"/>
  <c r="L122" i="5"/>
  <c r="Z128" i="5"/>
  <c r="Y128" i="5"/>
  <c r="AA128" i="5" s="1"/>
  <c r="Z133" i="5"/>
  <c r="Y133" i="5"/>
  <c r="AA133" i="5" s="1"/>
  <c r="O116" i="5"/>
  <c r="O117" i="5" s="1"/>
  <c r="Q120" i="5"/>
  <c r="Q118" i="5"/>
  <c r="Z127" i="5"/>
  <c r="Y127" i="5"/>
  <c r="AA127" i="5" s="1"/>
  <c r="X129" i="5"/>
  <c r="Y129" i="5" s="1"/>
  <c r="AA129" i="5" s="1"/>
  <c r="Z131" i="5"/>
  <c r="Y131" i="5"/>
  <c r="AA131" i="5" s="1"/>
  <c r="X134" i="5"/>
  <c r="Y134" i="5" s="1"/>
  <c r="AA134" i="5" s="1"/>
  <c r="K111" i="5"/>
  <c r="P113" i="5"/>
  <c r="J116" i="5"/>
  <c r="J117" i="5" s="1"/>
  <c r="J122" i="5" s="1"/>
  <c r="W118" i="5"/>
  <c r="W120" i="5" s="1"/>
  <c r="Q34" i="4"/>
  <c r="R34" i="4" s="1"/>
  <c r="J35" i="4"/>
  <c r="W2" i="4"/>
  <c r="U34" i="4"/>
  <c r="O35" i="4"/>
  <c r="C10" i="4"/>
  <c r="I11" i="4"/>
  <c r="J11" i="4" s="1"/>
  <c r="N11" i="4" s="1"/>
  <c r="I13" i="4"/>
  <c r="J13" i="4" s="1"/>
  <c r="N13" i="4" s="1"/>
  <c r="O13" i="4" s="1"/>
  <c r="U13" i="4" s="1"/>
  <c r="U104" i="4"/>
  <c r="D67" i="4"/>
  <c r="F30" i="4"/>
  <c r="L33" i="4" s="1"/>
  <c r="L34" i="4" s="1"/>
  <c r="L35" i="4" s="1"/>
  <c r="L36" i="4" s="1"/>
  <c r="L37" i="4" s="1"/>
  <c r="L39" i="4" s="1"/>
  <c r="L40" i="4" s="1"/>
  <c r="L41" i="4" s="1"/>
  <c r="L42" i="4" s="1"/>
  <c r="L43" i="4" s="1"/>
  <c r="L44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9" i="4" s="1"/>
  <c r="L60" i="4" s="1"/>
  <c r="L61" i="4" s="1"/>
  <c r="L62" i="4" s="1"/>
  <c r="L63" i="4" s="1"/>
  <c r="Q33" i="4"/>
  <c r="X126" i="4"/>
  <c r="Z126" i="4"/>
  <c r="Y126" i="4"/>
  <c r="AA126" i="4" s="1"/>
  <c r="W11" i="4"/>
  <c r="W12" i="4" s="1"/>
  <c r="I8" i="4"/>
  <c r="J62" i="4"/>
  <c r="AB118" i="4"/>
  <c r="AF120" i="4"/>
  <c r="AB120" i="4" s="1"/>
  <c r="F118" i="4"/>
  <c r="F120" i="4" s="1"/>
  <c r="F121" i="4" s="1"/>
  <c r="G117" i="4"/>
  <c r="AB122" i="4"/>
  <c r="AD122" i="4" s="1"/>
  <c r="AF122" i="4" s="1"/>
  <c r="W120" i="4"/>
  <c r="Q104" i="4"/>
  <c r="C67" i="4"/>
  <c r="E67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1" i="4" s="1"/>
  <c r="G82" i="4" s="1"/>
  <c r="G83" i="4" s="1"/>
  <c r="G84" i="4" s="1"/>
  <c r="G85" i="4" s="1"/>
  <c r="G86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0" i="4"/>
  <c r="U33" i="4"/>
  <c r="AE48" i="4"/>
  <c r="E49" i="4"/>
  <c r="S70" i="4"/>
  <c r="R70" i="4"/>
  <c r="Y70" i="4"/>
  <c r="V71" i="4"/>
  <c r="Y71" i="4"/>
  <c r="Q71" i="4"/>
  <c r="J72" i="4"/>
  <c r="O72" i="4"/>
  <c r="X130" i="4"/>
  <c r="Y130" i="4" s="1"/>
  <c r="AA130" i="4" s="1"/>
  <c r="Z130" i="4"/>
  <c r="V70" i="4"/>
  <c r="AA70" i="4" s="1"/>
  <c r="U118" i="4"/>
  <c r="U120" i="4" s="1"/>
  <c r="X129" i="4"/>
  <c r="Y129" i="4" s="1"/>
  <c r="AA129" i="4" s="1"/>
  <c r="Z129" i="4"/>
  <c r="Z134" i="4"/>
  <c r="Y134" i="4"/>
  <c r="AA134" i="4" s="1"/>
  <c r="B109" i="4"/>
  <c r="X128" i="4"/>
  <c r="Y128" i="4" s="1"/>
  <c r="AA128" i="4" s="1"/>
  <c r="Z128" i="4"/>
  <c r="Z133" i="4"/>
  <c r="Y133" i="4"/>
  <c r="AA133" i="4" s="1"/>
  <c r="X127" i="4"/>
  <c r="Y127" i="4" s="1"/>
  <c r="AA127" i="4" s="1"/>
  <c r="Z127" i="4"/>
  <c r="X131" i="4"/>
  <c r="Y131" i="4" s="1"/>
  <c r="AA131" i="4" s="1"/>
  <c r="Z131" i="4"/>
  <c r="AC114" i="4"/>
  <c r="L72" i="3"/>
  <c r="L73" i="3" s="1"/>
  <c r="Q34" i="2"/>
  <c r="R34" i="2" s="1"/>
  <c r="S34" i="2" s="1"/>
  <c r="J35" i="2"/>
  <c r="Q35" i="2" s="1"/>
  <c r="R35" i="2" s="1"/>
  <c r="S35" i="2" s="1"/>
  <c r="Y131" i="3"/>
  <c r="AA131" i="3" s="1"/>
  <c r="X131" i="3"/>
  <c r="Y127" i="3"/>
  <c r="AA127" i="3" s="1"/>
  <c r="X127" i="3"/>
  <c r="AF60" i="2"/>
  <c r="AF62" i="2"/>
  <c r="AC116" i="3"/>
  <c r="W118" i="3"/>
  <c r="AB122" i="3" s="1"/>
  <c r="AD122" i="3" s="1"/>
  <c r="AF122" i="3" s="1"/>
  <c r="O34" i="3"/>
  <c r="F30" i="3"/>
  <c r="L33" i="3" s="1"/>
  <c r="L34" i="3" s="1"/>
  <c r="L35" i="3" s="1"/>
  <c r="L36" i="3" s="1"/>
  <c r="L37" i="3" s="1"/>
  <c r="L39" i="3" s="1"/>
  <c r="L40" i="3" s="1"/>
  <c r="L41" i="3" s="1"/>
  <c r="L42" i="3" s="1"/>
  <c r="L43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 s="1"/>
  <c r="L60" i="3" s="1"/>
  <c r="L61" i="3" s="1"/>
  <c r="L62" i="3" s="1"/>
  <c r="L63" i="3" s="1"/>
  <c r="E67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1" i="2" s="1"/>
  <c r="G82" i="2" s="1"/>
  <c r="G83" i="2" s="1"/>
  <c r="G84" i="2" s="1"/>
  <c r="G85" i="2" s="1"/>
  <c r="G86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O71" i="2"/>
  <c r="Q118" i="2"/>
  <c r="Q120" i="2" s="1"/>
  <c r="AF118" i="3"/>
  <c r="AF120" i="3" s="1"/>
  <c r="AB120" i="3" s="1"/>
  <c r="AI118" i="3"/>
  <c r="AI120" i="3" s="1"/>
  <c r="I13" i="2"/>
  <c r="J13" i="2" s="1"/>
  <c r="N13" i="2" s="1"/>
  <c r="O13" i="2" s="1"/>
  <c r="U13" i="2" s="1"/>
  <c r="Q33" i="2"/>
  <c r="AF61" i="2"/>
  <c r="Q71" i="2"/>
  <c r="X129" i="3"/>
  <c r="Y129" i="3" s="1"/>
  <c r="AA129" i="3" s="1"/>
  <c r="V128" i="3"/>
  <c r="W128" i="3" s="1"/>
  <c r="Y128" i="3" s="1"/>
  <c r="AA128" i="3" s="1"/>
  <c r="AC114" i="3"/>
  <c r="A30" i="3"/>
  <c r="A67" i="3" s="1"/>
  <c r="E67" i="3" s="1"/>
  <c r="G70" i="3" s="1"/>
  <c r="X126" i="3"/>
  <c r="Y126" i="3" s="1"/>
  <c r="AA126" i="3" s="1"/>
  <c r="Z126" i="3"/>
  <c r="X130" i="3"/>
  <c r="Y130" i="3" s="1"/>
  <c r="AA130" i="3" s="1"/>
  <c r="Z130" i="3"/>
  <c r="Z128" i="3"/>
  <c r="X128" i="3"/>
  <c r="R70" i="3"/>
  <c r="V70" i="3"/>
  <c r="AA70" i="3" s="1"/>
  <c r="W9" i="3"/>
  <c r="Z131" i="3"/>
  <c r="Z129" i="3"/>
  <c r="Z127" i="3"/>
  <c r="Y119" i="3"/>
  <c r="F119" i="3" s="1"/>
  <c r="F120" i="3" s="1"/>
  <c r="AA118" i="3"/>
  <c r="V73" i="3"/>
  <c r="J72" i="3"/>
  <c r="Q71" i="3"/>
  <c r="Y71" i="3" s="1"/>
  <c r="V71" i="3"/>
  <c r="V72" i="3"/>
  <c r="X134" i="3"/>
  <c r="Y134" i="3" s="1"/>
  <c r="AA134" i="3" s="1"/>
  <c r="V133" i="3"/>
  <c r="W133" i="3" s="1"/>
  <c r="AC117" i="3"/>
  <c r="O74" i="3"/>
  <c r="Y70" i="3"/>
  <c r="J62" i="3"/>
  <c r="J34" i="3"/>
  <c r="Q33" i="3"/>
  <c r="W11" i="3"/>
  <c r="C10" i="3"/>
  <c r="I11" i="3"/>
  <c r="J11" i="3" s="1"/>
  <c r="N11" i="3" s="1"/>
  <c r="W10" i="3"/>
  <c r="I8" i="3"/>
  <c r="J8" i="3" s="1"/>
  <c r="N8" i="3" s="1"/>
  <c r="C13" i="3"/>
  <c r="I13" i="3" s="1"/>
  <c r="J13" i="3" s="1"/>
  <c r="N13" i="3" s="1"/>
  <c r="O13" i="3" s="1"/>
  <c r="U13" i="3" s="1"/>
  <c r="V34" i="2"/>
  <c r="O36" i="2"/>
  <c r="U35" i="2"/>
  <c r="C11" i="2"/>
  <c r="G33" i="2"/>
  <c r="G34" i="2" s="1"/>
  <c r="G35" i="2" s="1"/>
  <c r="G36" i="2" s="1"/>
  <c r="G37" i="2" s="1"/>
  <c r="G39" i="2" s="1"/>
  <c r="G40" i="2" s="1"/>
  <c r="G41" i="2" s="1"/>
  <c r="G42" i="2" s="1"/>
  <c r="G43" i="2" s="1"/>
  <c r="G44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9" i="2" s="1"/>
  <c r="G60" i="2" s="1"/>
  <c r="G61" i="2" s="1"/>
  <c r="G62" i="2" s="1"/>
  <c r="G63" i="2" s="1"/>
  <c r="AF49" i="2"/>
  <c r="AE50" i="2"/>
  <c r="F8" i="2"/>
  <c r="F11" i="2" s="1"/>
  <c r="F10" i="2" s="1"/>
  <c r="F9" i="2" s="1"/>
  <c r="Y33" i="2"/>
  <c r="V33" i="2"/>
  <c r="AE41" i="2"/>
  <c r="F30" i="2"/>
  <c r="L33" i="2" s="1"/>
  <c r="L34" i="2" s="1"/>
  <c r="L35" i="2" s="1"/>
  <c r="L36" i="2" s="1"/>
  <c r="L37" i="2" s="1"/>
  <c r="L39" i="2" s="1"/>
  <c r="L40" i="2" s="1"/>
  <c r="L41" i="2" s="1"/>
  <c r="L42" i="2" s="1"/>
  <c r="L43" i="2" s="1"/>
  <c r="L44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9" i="2" s="1"/>
  <c r="L60" i="2" s="1"/>
  <c r="L61" i="2" s="1"/>
  <c r="L62" i="2" s="1"/>
  <c r="L63" i="2" s="1"/>
  <c r="AF48" i="2"/>
  <c r="R71" i="2"/>
  <c r="S71" i="2"/>
  <c r="X127" i="2"/>
  <c r="Y127" i="2" s="1"/>
  <c r="AA127" i="2" s="1"/>
  <c r="Z127" i="2"/>
  <c r="R33" i="2"/>
  <c r="J73" i="2"/>
  <c r="Q72" i="2"/>
  <c r="G117" i="2"/>
  <c r="F118" i="2"/>
  <c r="Y70" i="2"/>
  <c r="Y126" i="2"/>
  <c r="AA126" i="2" s="1"/>
  <c r="X126" i="2"/>
  <c r="Z126" i="2"/>
  <c r="J62" i="2"/>
  <c r="R70" i="2"/>
  <c r="F67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1" i="2" s="1"/>
  <c r="L82" i="2" s="1"/>
  <c r="L83" i="2" s="1"/>
  <c r="L84" i="2" s="1"/>
  <c r="L85" i="2" s="1"/>
  <c r="L86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X128" i="2"/>
  <c r="Y128" i="2" s="1"/>
  <c r="AA128" i="2" s="1"/>
  <c r="Y129" i="2"/>
  <c r="AA129" i="2" s="1"/>
  <c r="X129" i="2"/>
  <c r="Z129" i="2"/>
  <c r="Z128" i="2"/>
  <c r="Y130" i="2"/>
  <c r="AA130" i="2" s="1"/>
  <c r="X130" i="2"/>
  <c r="X131" i="2"/>
  <c r="Y131" i="2" s="1"/>
  <c r="AA131" i="2" s="1"/>
  <c r="Z131" i="2"/>
  <c r="X133" i="2"/>
  <c r="Y133" i="2" s="1"/>
  <c r="AA133" i="2" s="1"/>
  <c r="Z134" i="2"/>
  <c r="Y134" i="2"/>
  <c r="AA134" i="2" s="1"/>
  <c r="X134" i="2"/>
  <c r="U118" i="2"/>
  <c r="U120" i="2" s="1"/>
  <c r="Y119" i="2"/>
  <c r="F119" i="2" s="1"/>
  <c r="W118" i="2"/>
  <c r="W33" i="5" l="1"/>
  <c r="S81" i="5"/>
  <c r="F8" i="5"/>
  <c r="F11" i="5" s="1"/>
  <c r="F10" i="5" s="1"/>
  <c r="F9" i="5" s="1"/>
  <c r="S77" i="5"/>
  <c r="S71" i="5"/>
  <c r="S76" i="5"/>
  <c r="S79" i="5"/>
  <c r="E30" i="5"/>
  <c r="G33" i="5" s="1"/>
  <c r="E67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1" i="6" s="1"/>
  <c r="G82" i="6" s="1"/>
  <c r="G83" i="6" s="1"/>
  <c r="G84" i="6" s="1"/>
  <c r="G85" i="6" s="1"/>
  <c r="G86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S78" i="5"/>
  <c r="S74" i="5"/>
  <c r="S73" i="5"/>
  <c r="S75" i="5"/>
  <c r="S72" i="5"/>
  <c r="S70" i="5"/>
  <c r="J114" i="6"/>
  <c r="U120" i="6"/>
  <c r="U121" i="6" s="1"/>
  <c r="V120" i="6"/>
  <c r="O114" i="6"/>
  <c r="W36" i="6"/>
  <c r="C10" i="6"/>
  <c r="W33" i="6"/>
  <c r="F13" i="6"/>
  <c r="I13" i="6" s="1"/>
  <c r="J13" i="6" s="1"/>
  <c r="N13" i="6" s="1"/>
  <c r="O13" i="6" s="1"/>
  <c r="U13" i="6" s="1"/>
  <c r="F8" i="6"/>
  <c r="Z128" i="6"/>
  <c r="X128" i="6"/>
  <c r="Y128" i="6" s="1"/>
  <c r="AA128" i="6" s="1"/>
  <c r="V73" i="6"/>
  <c r="O40" i="6"/>
  <c r="U39" i="6"/>
  <c r="V25" i="6"/>
  <c r="W25" i="6"/>
  <c r="U25" i="6"/>
  <c r="Z133" i="6"/>
  <c r="X133" i="6"/>
  <c r="Y133" i="6" s="1"/>
  <c r="AA133" i="6" s="1"/>
  <c r="B108" i="6"/>
  <c r="Y7" i="6"/>
  <c r="Z130" i="6"/>
  <c r="X130" i="6"/>
  <c r="Y130" i="6" s="1"/>
  <c r="AA130" i="6" s="1"/>
  <c r="U75" i="6"/>
  <c r="O76" i="6"/>
  <c r="F67" i="6"/>
  <c r="L70" i="6" s="1"/>
  <c r="W34" i="6"/>
  <c r="Q35" i="6"/>
  <c r="J36" i="6"/>
  <c r="E30" i="6"/>
  <c r="R70" i="6"/>
  <c r="W37" i="6"/>
  <c r="Z126" i="6"/>
  <c r="Y126" i="6"/>
  <c r="AA126" i="6" s="1"/>
  <c r="X126" i="6"/>
  <c r="O85" i="6"/>
  <c r="U84" i="6"/>
  <c r="J72" i="6"/>
  <c r="Q71" i="6"/>
  <c r="B108" i="5"/>
  <c r="Y7" i="5"/>
  <c r="O73" i="5"/>
  <c r="U72" i="5"/>
  <c r="AB72" i="5"/>
  <c r="AC72" i="5" s="1"/>
  <c r="V82" i="5"/>
  <c r="W82" i="5"/>
  <c r="W14" i="5"/>
  <c r="V25" i="5"/>
  <c r="V120" i="5"/>
  <c r="O114" i="5"/>
  <c r="V81" i="5"/>
  <c r="AA81" i="5" s="1"/>
  <c r="W81" i="5"/>
  <c r="Y81" i="5"/>
  <c r="Q82" i="5"/>
  <c r="J83" i="5"/>
  <c r="AC82" i="5"/>
  <c r="J36" i="5"/>
  <c r="Q35" i="5"/>
  <c r="R35" i="5" s="1"/>
  <c r="X23" i="5"/>
  <c r="V48" i="5"/>
  <c r="W48" i="5" s="1"/>
  <c r="U24" i="5"/>
  <c r="X24" i="5" s="1"/>
  <c r="W12" i="5"/>
  <c r="W24" i="5"/>
  <c r="V24" i="5"/>
  <c r="Q122" i="5"/>
  <c r="R122" i="5" s="1"/>
  <c r="S122" i="5" s="1"/>
  <c r="O118" i="5"/>
  <c r="O119" i="5" s="1"/>
  <c r="U120" i="5"/>
  <c r="J114" i="5"/>
  <c r="C10" i="5"/>
  <c r="O122" i="5"/>
  <c r="W70" i="5"/>
  <c r="Y70" i="5"/>
  <c r="V70" i="5"/>
  <c r="AA70" i="5" s="1"/>
  <c r="U34" i="5"/>
  <c r="O35" i="5"/>
  <c r="AB34" i="5"/>
  <c r="AC34" i="5" s="1"/>
  <c r="O84" i="5"/>
  <c r="AB83" i="5"/>
  <c r="U83" i="5"/>
  <c r="V26" i="5"/>
  <c r="AC48" i="5"/>
  <c r="W71" i="5"/>
  <c r="Y71" i="5"/>
  <c r="V71" i="5"/>
  <c r="AA71" i="5" s="1"/>
  <c r="AC71" i="5"/>
  <c r="W26" i="5"/>
  <c r="O50" i="5"/>
  <c r="AB49" i="5"/>
  <c r="U49" i="5"/>
  <c r="U25" i="5"/>
  <c r="X25" i="5" s="1"/>
  <c r="O11" i="4"/>
  <c r="N12" i="4"/>
  <c r="O12" i="4" s="1"/>
  <c r="U11" i="4" s="1"/>
  <c r="M122" i="4"/>
  <c r="N122" i="4" s="1"/>
  <c r="U122" i="4"/>
  <c r="Y33" i="4"/>
  <c r="V33" i="4"/>
  <c r="W33" i="4" s="1"/>
  <c r="O73" i="4"/>
  <c r="U72" i="4"/>
  <c r="G33" i="4"/>
  <c r="G34" i="4" s="1"/>
  <c r="G35" i="4" s="1"/>
  <c r="G36" i="4" s="1"/>
  <c r="G37" i="4" s="1"/>
  <c r="G39" i="4" s="1"/>
  <c r="G40" i="4" s="1"/>
  <c r="G41" i="4" s="1"/>
  <c r="G42" i="4" s="1"/>
  <c r="G43" i="4" s="1"/>
  <c r="G44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9" i="4" s="1"/>
  <c r="G60" i="4" s="1"/>
  <c r="G61" i="4" s="1"/>
  <c r="G62" i="4" s="1"/>
  <c r="G63" i="4" s="1"/>
  <c r="J8" i="4"/>
  <c r="N8" i="4" s="1"/>
  <c r="Z7" i="4"/>
  <c r="Y8" i="4" s="1"/>
  <c r="F67" i="4"/>
  <c r="L70" i="4" s="1"/>
  <c r="I10" i="4"/>
  <c r="J10" i="4" s="1"/>
  <c r="N10" i="4" s="1"/>
  <c r="O10" i="4" s="1"/>
  <c r="U10" i="4" s="1"/>
  <c r="C9" i="4"/>
  <c r="I9" i="4" s="1"/>
  <c r="J9" i="4" s="1"/>
  <c r="N9" i="4" s="1"/>
  <c r="O9" i="4" s="1"/>
  <c r="U9" i="4" s="1"/>
  <c r="Q35" i="4"/>
  <c r="R35" i="4" s="1"/>
  <c r="J36" i="4"/>
  <c r="Q72" i="4"/>
  <c r="J73" i="4"/>
  <c r="AE49" i="4"/>
  <c r="E50" i="4"/>
  <c r="O36" i="4"/>
  <c r="U35" i="4"/>
  <c r="AA34" i="4"/>
  <c r="S34" i="4"/>
  <c r="S71" i="4"/>
  <c r="R71" i="4"/>
  <c r="AA71" i="4" s="1"/>
  <c r="R33" i="4"/>
  <c r="V34" i="4"/>
  <c r="W34" i="4" s="1"/>
  <c r="Y34" i="4"/>
  <c r="G71" i="3"/>
  <c r="S71" i="3" s="1"/>
  <c r="W70" i="3"/>
  <c r="S70" i="3"/>
  <c r="J36" i="2"/>
  <c r="AA34" i="2"/>
  <c r="O35" i="3"/>
  <c r="U34" i="3"/>
  <c r="V34" i="3" s="1"/>
  <c r="W34" i="3" s="1"/>
  <c r="S70" i="2"/>
  <c r="F120" i="2"/>
  <c r="Y34" i="2"/>
  <c r="E30" i="3"/>
  <c r="G33" i="3" s="1"/>
  <c r="G34" i="3" s="1"/>
  <c r="G35" i="3" s="1"/>
  <c r="G36" i="3" s="1"/>
  <c r="G37" i="3" s="1"/>
  <c r="G39" i="3" s="1"/>
  <c r="G40" i="3" s="1"/>
  <c r="G41" i="3" s="1"/>
  <c r="G42" i="3" s="1"/>
  <c r="G43" i="3" s="1"/>
  <c r="G44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9" i="3" s="1"/>
  <c r="G60" i="3" s="1"/>
  <c r="G61" i="3" s="1"/>
  <c r="G62" i="3" s="1"/>
  <c r="G63" i="3" s="1"/>
  <c r="U71" i="2"/>
  <c r="O72" i="2"/>
  <c r="W33" i="3"/>
  <c r="AB118" i="3"/>
  <c r="L74" i="3"/>
  <c r="L75" i="3" s="1"/>
  <c r="L76" i="3" s="1"/>
  <c r="L77" i="3" s="1"/>
  <c r="L78" i="3" s="1"/>
  <c r="L79" i="3" s="1"/>
  <c r="L81" i="3" s="1"/>
  <c r="L82" i="3" s="1"/>
  <c r="L83" i="3" s="1"/>
  <c r="L84" i="3" s="1"/>
  <c r="L85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N12" i="3"/>
  <c r="O12" i="3" s="1"/>
  <c r="O11" i="3"/>
  <c r="L8" i="3"/>
  <c r="W8" i="3" s="1"/>
  <c r="W14" i="3" s="1"/>
  <c r="R8" i="3"/>
  <c r="Z133" i="3"/>
  <c r="X133" i="3"/>
  <c r="Y133" i="3" s="1"/>
  <c r="AA133" i="3" s="1"/>
  <c r="C9" i="3"/>
  <c r="I9" i="3" s="1"/>
  <c r="J9" i="3" s="1"/>
  <c r="N9" i="3" s="1"/>
  <c r="O9" i="3" s="1"/>
  <c r="U9" i="3" s="1"/>
  <c r="I10" i="3"/>
  <c r="J10" i="3" s="1"/>
  <c r="N10" i="3" s="1"/>
  <c r="O10" i="3" s="1"/>
  <c r="U10" i="3" s="1"/>
  <c r="R71" i="3"/>
  <c r="Y33" i="3"/>
  <c r="R33" i="3"/>
  <c r="Q34" i="3"/>
  <c r="J35" i="3"/>
  <c r="O75" i="3"/>
  <c r="U74" i="3"/>
  <c r="Q72" i="3"/>
  <c r="J73" i="3"/>
  <c r="Y120" i="3"/>
  <c r="Q73" i="2"/>
  <c r="J74" i="2"/>
  <c r="AE51" i="2"/>
  <c r="AF50" i="2"/>
  <c r="Y120" i="2"/>
  <c r="W71" i="2"/>
  <c r="S33" i="2"/>
  <c r="AA33" i="2"/>
  <c r="W33" i="2"/>
  <c r="I8" i="2"/>
  <c r="J8" i="2" s="1"/>
  <c r="N8" i="2" s="1"/>
  <c r="U36" i="2"/>
  <c r="O37" i="2"/>
  <c r="C10" i="2"/>
  <c r="I11" i="2"/>
  <c r="J11" i="2" s="1"/>
  <c r="N11" i="2" s="1"/>
  <c r="AF41" i="2"/>
  <c r="AE42" i="2"/>
  <c r="J37" i="2"/>
  <c r="Q36" i="2"/>
  <c r="AA70" i="2"/>
  <c r="W70" i="2"/>
  <c r="Y35" i="2"/>
  <c r="V35" i="2"/>
  <c r="S72" i="2"/>
  <c r="R72" i="2"/>
  <c r="W34" i="2"/>
  <c r="I11" i="5" l="1"/>
  <c r="J11" i="5" s="1"/>
  <c r="N11" i="5" s="1"/>
  <c r="N12" i="5" s="1"/>
  <c r="O12" i="5" s="1"/>
  <c r="I8" i="5"/>
  <c r="J8" i="5" s="1"/>
  <c r="N8" i="5" s="1"/>
  <c r="R8" i="5" s="1"/>
  <c r="S70" i="6"/>
  <c r="G34" i="5"/>
  <c r="G35" i="5" s="1"/>
  <c r="G36" i="5" s="1"/>
  <c r="G37" i="5" s="1"/>
  <c r="G39" i="5" s="1"/>
  <c r="G40" i="5" s="1"/>
  <c r="G41" i="5" s="1"/>
  <c r="G42" i="5" s="1"/>
  <c r="G43" i="5" s="1"/>
  <c r="G44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9" i="5" s="1"/>
  <c r="G60" i="5" s="1"/>
  <c r="G61" i="5" s="1"/>
  <c r="G62" i="5" s="1"/>
  <c r="G63" i="5" s="1"/>
  <c r="S33" i="5"/>
  <c r="R71" i="6"/>
  <c r="AA71" i="6" s="1"/>
  <c r="S71" i="6"/>
  <c r="Y71" i="6"/>
  <c r="R35" i="6"/>
  <c r="Y35" i="6"/>
  <c r="L71" i="6"/>
  <c r="W70" i="6"/>
  <c r="O77" i="6"/>
  <c r="U76" i="6"/>
  <c r="J73" i="6"/>
  <c r="Q72" i="6"/>
  <c r="V75" i="6"/>
  <c r="F11" i="6"/>
  <c r="I8" i="6"/>
  <c r="W2" i="6" s="1"/>
  <c r="C9" i="6"/>
  <c r="V84" i="6"/>
  <c r="G33" i="6"/>
  <c r="V39" i="6"/>
  <c r="W39" i="6" s="1"/>
  <c r="O86" i="6"/>
  <c r="U85" i="6"/>
  <c r="Q36" i="6"/>
  <c r="J37" i="6"/>
  <c r="X25" i="6"/>
  <c r="U40" i="6"/>
  <c r="O41" i="6"/>
  <c r="W38" i="6"/>
  <c r="AA70" i="6"/>
  <c r="O85" i="5"/>
  <c r="AB84" i="5"/>
  <c r="U84" i="5"/>
  <c r="C9" i="5"/>
  <c r="I9" i="5" s="1"/>
  <c r="J9" i="5" s="1"/>
  <c r="N9" i="5" s="1"/>
  <c r="O9" i="5" s="1"/>
  <c r="U9" i="5" s="1"/>
  <c r="I10" i="5"/>
  <c r="J10" i="5" s="1"/>
  <c r="N10" i="5" s="1"/>
  <c r="O10" i="5" s="1"/>
  <c r="U10" i="5" s="1"/>
  <c r="V49" i="5"/>
  <c r="W49" i="5" s="1"/>
  <c r="V83" i="5"/>
  <c r="W83" i="5"/>
  <c r="Y83" i="5"/>
  <c r="AB35" i="5"/>
  <c r="AC35" i="5" s="1"/>
  <c r="U35" i="5"/>
  <c r="O36" i="5"/>
  <c r="U121" i="5"/>
  <c r="J37" i="5"/>
  <c r="Q36" i="5"/>
  <c r="O51" i="5"/>
  <c r="AB50" i="5"/>
  <c r="AC50" i="5" s="1"/>
  <c r="U50" i="5"/>
  <c r="U26" i="5"/>
  <c r="R82" i="5"/>
  <c r="S82" i="5"/>
  <c r="O74" i="5"/>
  <c r="AB73" i="5"/>
  <c r="U73" i="5"/>
  <c r="AC49" i="5"/>
  <c r="AC83" i="5"/>
  <c r="V34" i="5"/>
  <c r="Y34" i="5"/>
  <c r="AA33" i="5"/>
  <c r="Q83" i="5"/>
  <c r="J84" i="5"/>
  <c r="Y82" i="5"/>
  <c r="W72" i="5"/>
  <c r="Y72" i="5"/>
  <c r="V72" i="5"/>
  <c r="AA72" i="5" s="1"/>
  <c r="Q73" i="4"/>
  <c r="J74" i="4"/>
  <c r="O8" i="4"/>
  <c r="U8" i="4" s="1"/>
  <c r="R8" i="4"/>
  <c r="L8" i="4"/>
  <c r="W8" i="4" s="1"/>
  <c r="W14" i="4" s="1"/>
  <c r="S33" i="4"/>
  <c r="AA33" i="4"/>
  <c r="Y35" i="4"/>
  <c r="V35" i="4"/>
  <c r="W35" i="4" s="1"/>
  <c r="S72" i="4"/>
  <c r="R72" i="4"/>
  <c r="U73" i="4"/>
  <c r="O74" i="4"/>
  <c r="U12" i="4"/>
  <c r="U24" i="4"/>
  <c r="W24" i="4"/>
  <c r="U36" i="4"/>
  <c r="O37" i="4"/>
  <c r="J37" i="4"/>
  <c r="Q36" i="4"/>
  <c r="R36" i="4" s="1"/>
  <c r="L71" i="4"/>
  <c r="W70" i="4"/>
  <c r="W25" i="4"/>
  <c r="V25" i="4"/>
  <c r="U25" i="4"/>
  <c r="X25" i="4" s="1"/>
  <c r="V72" i="4"/>
  <c r="Y72" i="4"/>
  <c r="AE50" i="4"/>
  <c r="E51" i="4"/>
  <c r="S35" i="4"/>
  <c r="O36" i="3"/>
  <c r="U35" i="3"/>
  <c r="V35" i="3" s="1"/>
  <c r="W35" i="3" s="1"/>
  <c r="U72" i="2"/>
  <c r="O73" i="2"/>
  <c r="Y71" i="2"/>
  <c r="V71" i="2"/>
  <c r="AA71" i="2" s="1"/>
  <c r="G72" i="3"/>
  <c r="W71" i="3"/>
  <c r="J36" i="3"/>
  <c r="Q35" i="3"/>
  <c r="W25" i="3"/>
  <c r="V25" i="3"/>
  <c r="U25" i="3"/>
  <c r="Y8" i="3"/>
  <c r="F121" i="3"/>
  <c r="Y7" i="3"/>
  <c r="B109" i="3"/>
  <c r="R34" i="3"/>
  <c r="Y34" i="3"/>
  <c r="AA71" i="3"/>
  <c r="J74" i="3"/>
  <c r="Q73" i="3"/>
  <c r="V74" i="3"/>
  <c r="S33" i="3"/>
  <c r="AA33" i="3"/>
  <c r="U11" i="3"/>
  <c r="R72" i="3"/>
  <c r="AA72" i="3" s="1"/>
  <c r="S72" i="3"/>
  <c r="Y72" i="3"/>
  <c r="U75" i="3"/>
  <c r="O76" i="3"/>
  <c r="O8" i="3"/>
  <c r="U8" i="3" s="1"/>
  <c r="W35" i="2"/>
  <c r="AA35" i="2"/>
  <c r="R36" i="2"/>
  <c r="I10" i="2"/>
  <c r="J10" i="2" s="1"/>
  <c r="N10" i="2" s="1"/>
  <c r="O10" i="2" s="1"/>
  <c r="U10" i="2" s="1"/>
  <c r="W10" i="2" s="1"/>
  <c r="C9" i="2"/>
  <c r="I9" i="2" s="1"/>
  <c r="J9" i="2" s="1"/>
  <c r="N9" i="2" s="1"/>
  <c r="O9" i="2" s="1"/>
  <c r="U9" i="2" s="1"/>
  <c r="AF51" i="2"/>
  <c r="AE52" i="2"/>
  <c r="Q37" i="2"/>
  <c r="R37" i="2" s="1"/>
  <c r="J39" i="2"/>
  <c r="AF42" i="2"/>
  <c r="AE43" i="2"/>
  <c r="O39" i="2"/>
  <c r="U37" i="2"/>
  <c r="B109" i="2"/>
  <c r="F121" i="2"/>
  <c r="Y8" i="2"/>
  <c r="Y7" i="2"/>
  <c r="J75" i="2"/>
  <c r="Q74" i="2"/>
  <c r="Y36" i="2"/>
  <c r="V36" i="2"/>
  <c r="W36" i="2" s="1"/>
  <c r="S73" i="2"/>
  <c r="R73" i="2"/>
  <c r="N12" i="2"/>
  <c r="O12" i="2" s="1"/>
  <c r="U11" i="2" s="1"/>
  <c r="O11" i="2"/>
  <c r="L8" i="2"/>
  <c r="O8" i="2" s="1"/>
  <c r="R8" i="2"/>
  <c r="O8" i="5" l="1"/>
  <c r="U8" i="5" s="1"/>
  <c r="O11" i="5"/>
  <c r="U11" i="5" s="1"/>
  <c r="W2" i="5"/>
  <c r="Z7" i="5"/>
  <c r="Y8" i="5" s="1"/>
  <c r="S34" i="5"/>
  <c r="S35" i="5"/>
  <c r="J39" i="6"/>
  <c r="Q37" i="6"/>
  <c r="O88" i="6"/>
  <c r="U86" i="6"/>
  <c r="J74" i="6"/>
  <c r="Q73" i="6"/>
  <c r="O42" i="6"/>
  <c r="U41" i="6"/>
  <c r="R36" i="6"/>
  <c r="Y36" i="6"/>
  <c r="J8" i="6"/>
  <c r="N8" i="6" s="1"/>
  <c r="Z7" i="6"/>
  <c r="Y8" i="6" s="1"/>
  <c r="L72" i="6"/>
  <c r="W71" i="6"/>
  <c r="V40" i="6"/>
  <c r="W40" i="6" s="1"/>
  <c r="G34" i="6"/>
  <c r="AA33" i="6"/>
  <c r="S33" i="6"/>
  <c r="F10" i="6"/>
  <c r="I11" i="6"/>
  <c r="J11" i="6" s="1"/>
  <c r="N11" i="6" s="1"/>
  <c r="V76" i="6"/>
  <c r="V85" i="6"/>
  <c r="S72" i="6"/>
  <c r="R72" i="6"/>
  <c r="Y72" i="6"/>
  <c r="U77" i="6"/>
  <c r="O78" i="6"/>
  <c r="W34" i="5"/>
  <c r="AA34" i="5"/>
  <c r="AC73" i="5"/>
  <c r="O52" i="5"/>
  <c r="AB51" i="5"/>
  <c r="AC51" i="5" s="1"/>
  <c r="U51" i="5"/>
  <c r="O37" i="5"/>
  <c r="AB36" i="5"/>
  <c r="U36" i="5"/>
  <c r="AA82" i="5"/>
  <c r="V84" i="5"/>
  <c r="W84" i="5"/>
  <c r="Y84" i="5"/>
  <c r="W73" i="5"/>
  <c r="Y73" i="5"/>
  <c r="V73" i="5"/>
  <c r="AA73" i="5" s="1"/>
  <c r="Q84" i="5"/>
  <c r="J85" i="5"/>
  <c r="O75" i="5"/>
  <c r="AB74" i="5"/>
  <c r="U74" i="5"/>
  <c r="X26" i="5"/>
  <c r="R36" i="5"/>
  <c r="V35" i="5"/>
  <c r="Y35" i="5"/>
  <c r="AA83" i="5"/>
  <c r="AC84" i="5"/>
  <c r="R83" i="5"/>
  <c r="S83" i="5"/>
  <c r="V50" i="5"/>
  <c r="W50" i="5" s="1"/>
  <c r="J39" i="5"/>
  <c r="Q37" i="5"/>
  <c r="R37" i="5" s="1"/>
  <c r="O86" i="5"/>
  <c r="AB85" i="5"/>
  <c r="U85" i="5"/>
  <c r="V23" i="4"/>
  <c r="W23" i="4"/>
  <c r="W26" i="4" s="1"/>
  <c r="U23" i="4"/>
  <c r="AE51" i="4"/>
  <c r="E52" i="4"/>
  <c r="L72" i="4"/>
  <c r="W71" i="4"/>
  <c r="Y36" i="4"/>
  <c r="V36" i="4"/>
  <c r="W36" i="4" s="1"/>
  <c r="Q74" i="4"/>
  <c r="J75" i="4"/>
  <c r="O39" i="4"/>
  <c r="U37" i="4"/>
  <c r="AA72" i="4"/>
  <c r="S36" i="4"/>
  <c r="U14" i="4"/>
  <c r="D8" i="4" s="1"/>
  <c r="O75" i="4"/>
  <c r="U74" i="4"/>
  <c r="S73" i="4"/>
  <c r="R73" i="4"/>
  <c r="AA35" i="4"/>
  <c r="Q37" i="4"/>
  <c r="R37" i="4" s="1"/>
  <c r="J39" i="4"/>
  <c r="V24" i="4"/>
  <c r="X24" i="4" s="1"/>
  <c r="V73" i="4"/>
  <c r="AA73" i="4" s="1"/>
  <c r="Y73" i="4"/>
  <c r="U73" i="2"/>
  <c r="O74" i="2"/>
  <c r="G73" i="3"/>
  <c r="W72" i="3"/>
  <c r="V72" i="2"/>
  <c r="AA72" i="2" s="1"/>
  <c r="W72" i="2"/>
  <c r="Y72" i="2"/>
  <c r="O37" i="3"/>
  <c r="U36" i="3"/>
  <c r="V36" i="3" s="1"/>
  <c r="W36" i="3" s="1"/>
  <c r="V23" i="3"/>
  <c r="W23" i="3"/>
  <c r="U23" i="3"/>
  <c r="S73" i="3"/>
  <c r="R73" i="3"/>
  <c r="AA73" i="3" s="1"/>
  <c r="Y73" i="3"/>
  <c r="Q74" i="3"/>
  <c r="J75" i="3"/>
  <c r="AA34" i="3"/>
  <c r="S34" i="3"/>
  <c r="R35" i="3"/>
  <c r="Y35" i="3"/>
  <c r="U24" i="3"/>
  <c r="U12" i="3"/>
  <c r="U14" i="3" s="1"/>
  <c r="W24" i="3"/>
  <c r="J37" i="3"/>
  <c r="Q36" i="3"/>
  <c r="O77" i="3"/>
  <c r="U76" i="3"/>
  <c r="V75" i="3"/>
  <c r="X25" i="3"/>
  <c r="V23" i="2"/>
  <c r="U23" i="2"/>
  <c r="W23" i="2"/>
  <c r="W24" i="2"/>
  <c r="U24" i="2"/>
  <c r="U12" i="2"/>
  <c r="U14" i="2" s="1"/>
  <c r="Q75" i="2"/>
  <c r="J76" i="2"/>
  <c r="AE44" i="2"/>
  <c r="AF44" i="2" s="1"/>
  <c r="AF43" i="2"/>
  <c r="AE53" i="2"/>
  <c r="AF52" i="2"/>
  <c r="V25" i="2"/>
  <c r="U25" i="2"/>
  <c r="W9" i="2"/>
  <c r="W25" i="2"/>
  <c r="V37" i="2"/>
  <c r="W37" i="2" s="1"/>
  <c r="W38" i="2" s="1"/>
  <c r="Y37" i="2"/>
  <c r="AB38" i="2"/>
  <c r="J40" i="2"/>
  <c r="Q39" i="2"/>
  <c r="R39" i="2" s="1"/>
  <c r="AA36" i="2"/>
  <c r="S36" i="2"/>
  <c r="S74" i="2"/>
  <c r="R74" i="2"/>
  <c r="U39" i="2"/>
  <c r="O40" i="2"/>
  <c r="S37" i="2"/>
  <c r="V77" i="6" l="1"/>
  <c r="V41" i="6"/>
  <c r="W41" i="6" s="1"/>
  <c r="U88" i="6"/>
  <c r="O89" i="6"/>
  <c r="R8" i="6"/>
  <c r="L8" i="6"/>
  <c r="W8" i="6" s="1"/>
  <c r="U42" i="6"/>
  <c r="O43" i="6"/>
  <c r="R73" i="6"/>
  <c r="AA73" i="6" s="1"/>
  <c r="S73" i="6"/>
  <c r="Y73" i="6"/>
  <c r="R37" i="6"/>
  <c r="Y37" i="6"/>
  <c r="AA72" i="6"/>
  <c r="N12" i="6"/>
  <c r="O12" i="6" s="1"/>
  <c r="O11" i="6"/>
  <c r="J75" i="6"/>
  <c r="Q74" i="6"/>
  <c r="J40" i="6"/>
  <c r="Q39" i="6"/>
  <c r="O79" i="6"/>
  <c r="U79" i="6" s="1"/>
  <c r="U78" i="6"/>
  <c r="F9" i="6"/>
  <c r="I9" i="6" s="1"/>
  <c r="J9" i="6" s="1"/>
  <c r="N9" i="6" s="1"/>
  <c r="O9" i="6" s="1"/>
  <c r="U9" i="6" s="1"/>
  <c r="I10" i="6"/>
  <c r="J10" i="6" s="1"/>
  <c r="N10" i="6" s="1"/>
  <c r="O10" i="6" s="1"/>
  <c r="U10" i="6" s="1"/>
  <c r="G35" i="6"/>
  <c r="S34" i="6"/>
  <c r="AA34" i="6"/>
  <c r="L73" i="6"/>
  <c r="W72" i="6"/>
  <c r="V86" i="6"/>
  <c r="V85" i="5"/>
  <c r="W85" i="5"/>
  <c r="J40" i="5"/>
  <c r="Q39" i="5"/>
  <c r="U12" i="5"/>
  <c r="U14" i="5" s="1"/>
  <c r="D11" i="5" s="1"/>
  <c r="Y36" i="5"/>
  <c r="V36" i="5"/>
  <c r="W36" i="5" s="1"/>
  <c r="AC74" i="5"/>
  <c r="AC36" i="5"/>
  <c r="O53" i="5"/>
  <c r="AB52" i="5"/>
  <c r="U52" i="5"/>
  <c r="O88" i="5"/>
  <c r="AB86" i="5"/>
  <c r="U86" i="5"/>
  <c r="O76" i="5"/>
  <c r="AB75" i="5"/>
  <c r="U75" i="5"/>
  <c r="R84" i="5"/>
  <c r="S84" i="5"/>
  <c r="AA84" i="5"/>
  <c r="U37" i="5"/>
  <c r="O39" i="5"/>
  <c r="AB37" i="5"/>
  <c r="W74" i="5"/>
  <c r="Y74" i="5"/>
  <c r="V74" i="5"/>
  <c r="AC85" i="5"/>
  <c r="S36" i="5"/>
  <c r="AA36" i="5"/>
  <c r="Q85" i="5"/>
  <c r="J86" i="5"/>
  <c r="S37" i="5"/>
  <c r="W35" i="5"/>
  <c r="AA35" i="5"/>
  <c r="V51" i="5"/>
  <c r="W51" i="5" s="1"/>
  <c r="Q39" i="4"/>
  <c r="J40" i="4"/>
  <c r="V74" i="4"/>
  <c r="Y74" i="4"/>
  <c r="Y37" i="4"/>
  <c r="V37" i="4"/>
  <c r="W37" i="4" s="1"/>
  <c r="W38" i="4" s="1"/>
  <c r="S74" i="4"/>
  <c r="R74" i="4"/>
  <c r="U26" i="4"/>
  <c r="X23" i="4"/>
  <c r="AA37" i="4"/>
  <c r="S37" i="4"/>
  <c r="S38" i="4" s="1"/>
  <c r="U75" i="4"/>
  <c r="O76" i="4"/>
  <c r="AA36" i="4"/>
  <c r="U39" i="4"/>
  <c r="O40" i="4"/>
  <c r="L73" i="4"/>
  <c r="W72" i="4"/>
  <c r="AE52" i="4"/>
  <c r="E53" i="4"/>
  <c r="L20" i="4"/>
  <c r="B106" i="4"/>
  <c r="V14" i="4"/>
  <c r="Y10" i="4"/>
  <c r="Y14" i="4" s="1"/>
  <c r="B107" i="4" s="1"/>
  <c r="D11" i="4"/>
  <c r="D9" i="4"/>
  <c r="D14" i="4" s="1"/>
  <c r="Q75" i="4"/>
  <c r="J76" i="4"/>
  <c r="V26" i="4"/>
  <c r="D20" i="4"/>
  <c r="O39" i="3"/>
  <c r="U37" i="3"/>
  <c r="V37" i="3" s="1"/>
  <c r="W37" i="3" s="1"/>
  <c r="W38" i="3" s="1"/>
  <c r="D20" i="2"/>
  <c r="O20" i="2" s="1"/>
  <c r="Q20" i="2" s="1"/>
  <c r="G74" i="3"/>
  <c r="W73" i="3"/>
  <c r="O75" i="2"/>
  <c r="U74" i="2"/>
  <c r="X25" i="2"/>
  <c r="V73" i="2"/>
  <c r="AA73" i="2" s="1"/>
  <c r="W73" i="2"/>
  <c r="Y73" i="2"/>
  <c r="J39" i="3"/>
  <c r="Q37" i="3"/>
  <c r="S35" i="3"/>
  <c r="AA35" i="3"/>
  <c r="J76" i="3"/>
  <c r="Q75" i="3"/>
  <c r="W26" i="3"/>
  <c r="V76" i="3"/>
  <c r="V14" i="3"/>
  <c r="Y10" i="3"/>
  <c r="Y14" i="3" s="1"/>
  <c r="B107" i="3" s="1"/>
  <c r="B106" i="3"/>
  <c r="D9" i="3"/>
  <c r="R74" i="3"/>
  <c r="AA74" i="3" s="1"/>
  <c r="S74" i="3"/>
  <c r="Y74" i="3"/>
  <c r="U77" i="3"/>
  <c r="O78" i="3"/>
  <c r="X24" i="3"/>
  <c r="X23" i="3"/>
  <c r="U26" i="3"/>
  <c r="R36" i="3"/>
  <c r="Y36" i="3"/>
  <c r="V24" i="3"/>
  <c r="V26" i="3" s="1"/>
  <c r="D11" i="3"/>
  <c r="D8" i="3"/>
  <c r="S39" i="2"/>
  <c r="L20" i="2"/>
  <c r="AE54" i="2"/>
  <c r="AF53" i="2"/>
  <c r="S75" i="2"/>
  <c r="R75" i="2"/>
  <c r="U40" i="2"/>
  <c r="O41" i="2"/>
  <c r="Q40" i="2"/>
  <c r="R40" i="2" s="1"/>
  <c r="J41" i="2"/>
  <c r="B106" i="2"/>
  <c r="V14" i="2"/>
  <c r="Y10" i="2"/>
  <c r="Y14" i="2" s="1"/>
  <c r="B107" i="2" s="1"/>
  <c r="Y39" i="2"/>
  <c r="V39" i="2"/>
  <c r="W39" i="2" s="1"/>
  <c r="S38" i="2"/>
  <c r="U26" i="2"/>
  <c r="X23" i="2"/>
  <c r="W26" i="2"/>
  <c r="AA37" i="2"/>
  <c r="AA38" i="2" s="1"/>
  <c r="J77" i="2"/>
  <c r="Q76" i="2"/>
  <c r="V24" i="2"/>
  <c r="X24" i="2" s="1"/>
  <c r="S38" i="5" l="1"/>
  <c r="U11" i="6"/>
  <c r="U12" i="6" s="1"/>
  <c r="L20" i="6"/>
  <c r="R39" i="6"/>
  <c r="Y39" i="6"/>
  <c r="D20" i="6"/>
  <c r="O8" i="6"/>
  <c r="U8" i="6" s="1"/>
  <c r="L74" i="6"/>
  <c r="W73" i="6"/>
  <c r="V79" i="6"/>
  <c r="J76" i="6"/>
  <c r="Q75" i="6"/>
  <c r="W23" i="6"/>
  <c r="W26" i="6" s="1"/>
  <c r="U23" i="6"/>
  <c r="V23" i="6"/>
  <c r="V26" i="6" s="1"/>
  <c r="W14" i="6"/>
  <c r="J41" i="6"/>
  <c r="Q40" i="6"/>
  <c r="O44" i="6"/>
  <c r="U43" i="6"/>
  <c r="O90" i="6"/>
  <c r="U89" i="6"/>
  <c r="G36" i="6"/>
  <c r="AA35" i="6"/>
  <c r="S35" i="6"/>
  <c r="V78" i="6"/>
  <c r="S74" i="6"/>
  <c r="R74" i="6"/>
  <c r="Y74" i="6"/>
  <c r="V42" i="6"/>
  <c r="W42" i="6" s="1"/>
  <c r="V88" i="6"/>
  <c r="J88" i="5"/>
  <c r="Q86" i="5"/>
  <c r="Y37" i="5"/>
  <c r="V37" i="5"/>
  <c r="O77" i="5"/>
  <c r="AB76" i="5"/>
  <c r="AC76" i="5" s="1"/>
  <c r="U76" i="5"/>
  <c r="AC37" i="5"/>
  <c r="W75" i="5"/>
  <c r="Y75" i="5"/>
  <c r="V75" i="5"/>
  <c r="AA75" i="5" s="1"/>
  <c r="V86" i="5"/>
  <c r="W86" i="5"/>
  <c r="Y86" i="5"/>
  <c r="AC52" i="5"/>
  <c r="B105" i="5"/>
  <c r="Y10" i="5"/>
  <c r="Y14" i="5" s="1"/>
  <c r="B106" i="5" s="1"/>
  <c r="V14" i="5"/>
  <c r="D9" i="5"/>
  <c r="D8" i="5"/>
  <c r="AB88" i="5"/>
  <c r="U88" i="5"/>
  <c r="O89" i="5"/>
  <c r="L20" i="5"/>
  <c r="J41" i="5"/>
  <c r="Q40" i="5"/>
  <c r="R40" i="5" s="1"/>
  <c r="R85" i="5"/>
  <c r="S85" i="5"/>
  <c r="V52" i="5"/>
  <c r="W52" i="5" s="1"/>
  <c r="Y85" i="5"/>
  <c r="AA74" i="5"/>
  <c r="U39" i="5"/>
  <c r="O40" i="5"/>
  <c r="AB39" i="5"/>
  <c r="AC75" i="5"/>
  <c r="AC86" i="5"/>
  <c r="O54" i="5"/>
  <c r="AB53" i="5"/>
  <c r="U53" i="5"/>
  <c r="R39" i="5"/>
  <c r="AA85" i="5"/>
  <c r="AE53" i="4"/>
  <c r="E54" i="4"/>
  <c r="Q76" i="4"/>
  <c r="J77" i="4"/>
  <c r="V39" i="4"/>
  <c r="W39" i="4" s="1"/>
  <c r="Y39" i="4"/>
  <c r="R39" i="4"/>
  <c r="V75" i="4"/>
  <c r="Y75" i="4"/>
  <c r="J41" i="4"/>
  <c r="Q40" i="4"/>
  <c r="R40" i="4" s="1"/>
  <c r="O20" i="4"/>
  <c r="Q20" i="4" s="1"/>
  <c r="S75" i="4"/>
  <c r="R75" i="4"/>
  <c r="AA38" i="4"/>
  <c r="X26" i="4"/>
  <c r="AA74" i="4"/>
  <c r="O41" i="4"/>
  <c r="U40" i="4"/>
  <c r="L74" i="4"/>
  <c r="W73" i="4"/>
  <c r="O77" i="4"/>
  <c r="U76" i="4"/>
  <c r="G75" i="3"/>
  <c r="S75" i="3" s="1"/>
  <c r="W74" i="3"/>
  <c r="O40" i="3"/>
  <c r="U39" i="3"/>
  <c r="V39" i="3" s="1"/>
  <c r="W39" i="3" s="1"/>
  <c r="Y74" i="2"/>
  <c r="W74" i="2"/>
  <c r="V74" i="2"/>
  <c r="AA74" i="2" s="1"/>
  <c r="AB38" i="3"/>
  <c r="O76" i="2"/>
  <c r="U75" i="2"/>
  <c r="V77" i="3"/>
  <c r="AA36" i="3"/>
  <c r="S36" i="3"/>
  <c r="X26" i="3"/>
  <c r="R75" i="3"/>
  <c r="AA75" i="3" s="1"/>
  <c r="Y75" i="3"/>
  <c r="R37" i="3"/>
  <c r="D20" i="3" s="1"/>
  <c r="Y37" i="3"/>
  <c r="D14" i="3"/>
  <c r="O79" i="3"/>
  <c r="U78" i="3"/>
  <c r="Q76" i="3"/>
  <c r="J77" i="3"/>
  <c r="J40" i="3"/>
  <c r="Q39" i="3"/>
  <c r="X26" i="2"/>
  <c r="V26" i="2"/>
  <c r="Q41" i="2"/>
  <c r="R41" i="2" s="1"/>
  <c r="J42" i="2"/>
  <c r="Q77" i="2"/>
  <c r="J78" i="2"/>
  <c r="S40" i="2"/>
  <c r="U41" i="2"/>
  <c r="O42" i="2"/>
  <c r="AE55" i="2"/>
  <c r="AF54" i="2"/>
  <c r="S76" i="2"/>
  <c r="R76" i="2"/>
  <c r="V40" i="2"/>
  <c r="W40" i="2" s="1"/>
  <c r="Y40" i="2"/>
  <c r="AA39" i="2"/>
  <c r="D14" i="5" l="1"/>
  <c r="V89" i="6"/>
  <c r="R40" i="6"/>
  <c r="Y40" i="6"/>
  <c r="J77" i="6"/>
  <c r="Q76" i="6"/>
  <c r="O20" i="6"/>
  <c r="Q20" i="6" s="1"/>
  <c r="U90" i="6"/>
  <c r="O91" i="6"/>
  <c r="Q41" i="6"/>
  <c r="J42" i="6"/>
  <c r="U26" i="6"/>
  <c r="X23" i="6"/>
  <c r="L75" i="6"/>
  <c r="W74" i="6"/>
  <c r="U14" i="6"/>
  <c r="D8" i="6" s="1"/>
  <c r="AA74" i="6"/>
  <c r="G37" i="6"/>
  <c r="AA36" i="6"/>
  <c r="S36" i="6"/>
  <c r="V43" i="6"/>
  <c r="W43" i="6" s="1"/>
  <c r="U44" i="6"/>
  <c r="O46" i="6"/>
  <c r="R75" i="6"/>
  <c r="AA75" i="6" s="1"/>
  <c r="S75" i="6"/>
  <c r="Y75" i="6"/>
  <c r="AB40" i="5"/>
  <c r="U40" i="5"/>
  <c r="O41" i="5"/>
  <c r="J42" i="5"/>
  <c r="Q41" i="5"/>
  <c r="R86" i="5"/>
  <c r="D25" i="5" s="1"/>
  <c r="S86" i="5"/>
  <c r="AA39" i="5"/>
  <c r="S39" i="5"/>
  <c r="O78" i="5"/>
  <c r="AB77" i="5"/>
  <c r="U77" i="5"/>
  <c r="V53" i="5"/>
  <c r="W53" i="5" s="1"/>
  <c r="AA86" i="5"/>
  <c r="W37" i="5"/>
  <c r="W38" i="5" s="1"/>
  <c r="D20" i="5"/>
  <c r="AA37" i="5"/>
  <c r="AA38" i="5" s="1"/>
  <c r="O55" i="5"/>
  <c r="AB54" i="5"/>
  <c r="AC54" i="5" s="1"/>
  <c r="U54" i="5"/>
  <c r="V88" i="5"/>
  <c r="W88" i="5"/>
  <c r="V39" i="5"/>
  <c r="W39" i="5" s="1"/>
  <c r="Y39" i="5"/>
  <c r="L25" i="5"/>
  <c r="AC88" i="5"/>
  <c r="Q88" i="5"/>
  <c r="J89" i="5"/>
  <c r="AC53" i="5"/>
  <c r="AC39" i="5"/>
  <c r="S40" i="5"/>
  <c r="O90" i="5"/>
  <c r="AB89" i="5"/>
  <c r="U89" i="5"/>
  <c r="W76" i="5"/>
  <c r="Y76" i="5"/>
  <c r="V76" i="5"/>
  <c r="AA76" i="5" s="1"/>
  <c r="L75" i="4"/>
  <c r="W74" i="4"/>
  <c r="U41" i="4"/>
  <c r="O42" i="4"/>
  <c r="V76" i="4"/>
  <c r="AA76" i="4" s="1"/>
  <c r="Y76" i="4"/>
  <c r="Q77" i="4"/>
  <c r="J78" i="4"/>
  <c r="U77" i="4"/>
  <c r="O78" i="4"/>
  <c r="S40" i="4"/>
  <c r="AA40" i="4"/>
  <c r="AA75" i="4"/>
  <c r="S76" i="4"/>
  <c r="R76" i="4"/>
  <c r="Y40" i="4"/>
  <c r="V40" i="4"/>
  <c r="W40" i="4" s="1"/>
  <c r="J42" i="4"/>
  <c r="Q41" i="4"/>
  <c r="AE54" i="4"/>
  <c r="E55" i="4"/>
  <c r="AA39" i="4"/>
  <c r="S39" i="4"/>
  <c r="O41" i="3"/>
  <c r="U40" i="3"/>
  <c r="V40" i="3" s="1"/>
  <c r="W40" i="3" s="1"/>
  <c r="V75" i="2"/>
  <c r="AA75" i="2" s="1"/>
  <c r="Y75" i="2"/>
  <c r="W75" i="2"/>
  <c r="U76" i="2"/>
  <c r="O77" i="2"/>
  <c r="G76" i="3"/>
  <c r="W75" i="3"/>
  <c r="S38" i="3"/>
  <c r="Q40" i="3"/>
  <c r="J41" i="3"/>
  <c r="J78" i="3"/>
  <c r="Q77" i="3"/>
  <c r="O20" i="3"/>
  <c r="Q20" i="3" s="1"/>
  <c r="R76" i="3"/>
  <c r="AA76" i="3" s="1"/>
  <c r="Y76" i="3"/>
  <c r="V78" i="3"/>
  <c r="L20" i="3"/>
  <c r="R39" i="3"/>
  <c r="Y39" i="3"/>
  <c r="U79" i="3"/>
  <c r="O81" i="3"/>
  <c r="S37" i="3"/>
  <c r="AA37" i="3"/>
  <c r="AA38" i="3" s="1"/>
  <c r="U42" i="2"/>
  <c r="O43" i="2"/>
  <c r="V41" i="2"/>
  <c r="W41" i="2" s="1"/>
  <c r="Y41" i="2"/>
  <c r="J79" i="2"/>
  <c r="Q78" i="2"/>
  <c r="AA41" i="2"/>
  <c r="S41" i="2"/>
  <c r="AF55" i="2"/>
  <c r="AE56" i="2"/>
  <c r="AA40" i="2"/>
  <c r="R77" i="2"/>
  <c r="S77" i="2"/>
  <c r="Q42" i="2"/>
  <c r="R42" i="2" s="1"/>
  <c r="J43" i="2"/>
  <c r="V44" i="6" l="1"/>
  <c r="W44" i="6" s="1"/>
  <c r="W45" i="6"/>
  <c r="G39" i="6"/>
  <c r="S37" i="6"/>
  <c r="S38" i="6" s="1"/>
  <c r="AA37" i="6"/>
  <c r="AA38" i="6" s="1"/>
  <c r="B105" i="6"/>
  <c r="Y10" i="6"/>
  <c r="Y14" i="6" s="1"/>
  <c r="B106" i="6" s="1"/>
  <c r="V14" i="6"/>
  <c r="D9" i="6"/>
  <c r="D11" i="6"/>
  <c r="O92" i="6"/>
  <c r="U91" i="6"/>
  <c r="X26" i="6"/>
  <c r="V90" i="6"/>
  <c r="L76" i="6"/>
  <c r="W75" i="6"/>
  <c r="J43" i="6"/>
  <c r="Q42" i="6"/>
  <c r="R76" i="6"/>
  <c r="AA76" i="6" s="1"/>
  <c r="S76" i="6"/>
  <c r="Y76" i="6"/>
  <c r="U46" i="6"/>
  <c r="O47" i="6"/>
  <c r="R41" i="6"/>
  <c r="Y41" i="6"/>
  <c r="J78" i="6"/>
  <c r="Q77" i="6"/>
  <c r="V89" i="5"/>
  <c r="Y89" i="5"/>
  <c r="W89" i="5"/>
  <c r="S88" i="5"/>
  <c r="R88" i="5"/>
  <c r="Y88" i="5"/>
  <c r="O56" i="5"/>
  <c r="AB55" i="5"/>
  <c r="U55" i="5"/>
  <c r="W77" i="5"/>
  <c r="Y77" i="5"/>
  <c r="V77" i="5"/>
  <c r="AA77" i="5" s="1"/>
  <c r="R41" i="5"/>
  <c r="AC40" i="5"/>
  <c r="Q89" i="5"/>
  <c r="J90" i="5"/>
  <c r="AC89" i="5"/>
  <c r="AA88" i="5"/>
  <c r="AC77" i="5"/>
  <c r="Q42" i="5"/>
  <c r="R42" i="5" s="1"/>
  <c r="J43" i="5"/>
  <c r="V40" i="5"/>
  <c r="Y40" i="5"/>
  <c r="AB90" i="5"/>
  <c r="U90" i="5"/>
  <c r="O91" i="5"/>
  <c r="V54" i="5"/>
  <c r="W54" i="5" s="1"/>
  <c r="O20" i="5"/>
  <c r="Q20" i="5" s="1"/>
  <c r="O79" i="5"/>
  <c r="AB78" i="5"/>
  <c r="U78" i="5"/>
  <c r="O42" i="5"/>
  <c r="AB41" i="5"/>
  <c r="U41" i="5"/>
  <c r="V77" i="4"/>
  <c r="Y77" i="4"/>
  <c r="R41" i="4"/>
  <c r="Q78" i="4"/>
  <c r="J79" i="4"/>
  <c r="J43" i="4"/>
  <c r="Q42" i="4"/>
  <c r="R42" i="4" s="1"/>
  <c r="S77" i="4"/>
  <c r="R77" i="4"/>
  <c r="U42" i="4"/>
  <c r="O43" i="4"/>
  <c r="AE55" i="4"/>
  <c r="E56" i="4"/>
  <c r="O79" i="4"/>
  <c r="U78" i="4"/>
  <c r="Y41" i="4"/>
  <c r="V41" i="4"/>
  <c r="W41" i="4" s="1"/>
  <c r="L76" i="4"/>
  <c r="W75" i="4"/>
  <c r="G77" i="3"/>
  <c r="W76" i="3"/>
  <c r="S76" i="3"/>
  <c r="O78" i="2"/>
  <c r="U77" i="2"/>
  <c r="W76" i="2"/>
  <c r="Y76" i="2"/>
  <c r="V76" i="2"/>
  <c r="AA76" i="2" s="1"/>
  <c r="O42" i="3"/>
  <c r="U41" i="3"/>
  <c r="V41" i="3" s="1"/>
  <c r="W41" i="3" s="1"/>
  <c r="V79" i="3"/>
  <c r="S39" i="3"/>
  <c r="AA39" i="3"/>
  <c r="Q78" i="3"/>
  <c r="J79" i="3"/>
  <c r="R40" i="3"/>
  <c r="Y40" i="3"/>
  <c r="U81" i="3"/>
  <c r="O82" i="3"/>
  <c r="R77" i="3"/>
  <c r="AA77" i="3" s="1"/>
  <c r="S77" i="3"/>
  <c r="Y77" i="3"/>
  <c r="Q41" i="3"/>
  <c r="J42" i="3"/>
  <c r="S78" i="2"/>
  <c r="R78" i="2"/>
  <c r="U43" i="2"/>
  <c r="O44" i="2"/>
  <c r="Q43" i="2"/>
  <c r="R43" i="2" s="1"/>
  <c r="J44" i="2"/>
  <c r="J81" i="2"/>
  <c r="Q79" i="2"/>
  <c r="V42" i="2"/>
  <c r="W42" i="2" s="1"/>
  <c r="Y42" i="2"/>
  <c r="S42" i="2"/>
  <c r="AE57" i="2"/>
  <c r="AF57" i="2" s="1"/>
  <c r="AF56" i="2"/>
  <c r="D14" i="6" l="1"/>
  <c r="R77" i="6"/>
  <c r="AA77" i="6" s="1"/>
  <c r="S77" i="6"/>
  <c r="Y77" i="6"/>
  <c r="L77" i="6"/>
  <c r="W76" i="6"/>
  <c r="G40" i="6"/>
  <c r="S39" i="6"/>
  <c r="AA39" i="6"/>
  <c r="V46" i="6"/>
  <c r="W46" i="6" s="1"/>
  <c r="R42" i="6"/>
  <c r="Y42" i="6"/>
  <c r="U92" i="6"/>
  <c r="O93" i="6"/>
  <c r="J79" i="6"/>
  <c r="Q78" i="6"/>
  <c r="U47" i="6"/>
  <c r="O48" i="6"/>
  <c r="J44" i="6"/>
  <c r="Q43" i="6"/>
  <c r="V91" i="6"/>
  <c r="U42" i="5"/>
  <c r="O43" i="5"/>
  <c r="AB42" i="5"/>
  <c r="AC42" i="5" s="1"/>
  <c r="AB91" i="5"/>
  <c r="AC91" i="5" s="1"/>
  <c r="U91" i="5"/>
  <c r="O92" i="5"/>
  <c r="Q90" i="5"/>
  <c r="J91" i="5"/>
  <c r="S41" i="5"/>
  <c r="Y41" i="5"/>
  <c r="V41" i="5"/>
  <c r="W41" i="5" s="1"/>
  <c r="W78" i="5"/>
  <c r="Y78" i="5"/>
  <c r="V78" i="5"/>
  <c r="AA78" i="5" s="1"/>
  <c r="V90" i="5"/>
  <c r="Y90" i="5"/>
  <c r="W90" i="5"/>
  <c r="W40" i="5"/>
  <c r="AA40" i="5"/>
  <c r="S89" i="5"/>
  <c r="R89" i="5"/>
  <c r="V55" i="5"/>
  <c r="W55" i="5" s="1"/>
  <c r="AB79" i="5"/>
  <c r="U79" i="5"/>
  <c r="S42" i="5"/>
  <c r="O57" i="5"/>
  <c r="AB56" i="5"/>
  <c r="AC56" i="5" s="1"/>
  <c r="U56" i="5"/>
  <c r="AC41" i="5"/>
  <c r="AC78" i="5"/>
  <c r="AC90" i="5"/>
  <c r="Q43" i="5"/>
  <c r="R43" i="5" s="1"/>
  <c r="J44" i="5"/>
  <c r="AC55" i="5"/>
  <c r="L77" i="4"/>
  <c r="W76" i="4"/>
  <c r="S41" i="4"/>
  <c r="AA41" i="4"/>
  <c r="U79" i="4"/>
  <c r="O81" i="4"/>
  <c r="V42" i="4"/>
  <c r="W42" i="4" s="1"/>
  <c r="Y42" i="4"/>
  <c r="J44" i="4"/>
  <c r="Q43" i="4"/>
  <c r="R43" i="4" s="1"/>
  <c r="S78" i="4"/>
  <c r="R78" i="4"/>
  <c r="AE56" i="4"/>
  <c r="E57" i="4"/>
  <c r="AE57" i="4" s="1"/>
  <c r="AA77" i="4"/>
  <c r="V78" i="4"/>
  <c r="Y78" i="4"/>
  <c r="U43" i="4"/>
  <c r="O44" i="4"/>
  <c r="AA42" i="4"/>
  <c r="S42" i="4"/>
  <c r="J81" i="4"/>
  <c r="Q79" i="4"/>
  <c r="O79" i="2"/>
  <c r="U78" i="2"/>
  <c r="O43" i="3"/>
  <c r="U42" i="3"/>
  <c r="V42" i="3" s="1"/>
  <c r="W42" i="3" s="1"/>
  <c r="V77" i="2"/>
  <c r="AA77" i="2" s="1"/>
  <c r="W77" i="2"/>
  <c r="Y77" i="2"/>
  <c r="G78" i="3"/>
  <c r="W77" i="3"/>
  <c r="U82" i="3"/>
  <c r="O83" i="3"/>
  <c r="AA40" i="3"/>
  <c r="S40" i="3"/>
  <c r="J43" i="3"/>
  <c r="Q42" i="3"/>
  <c r="V81" i="3"/>
  <c r="Q79" i="3"/>
  <c r="J81" i="3"/>
  <c r="R41" i="3"/>
  <c r="Y41" i="3"/>
  <c r="R78" i="3"/>
  <c r="AA78" i="3" s="1"/>
  <c r="Y78" i="3"/>
  <c r="J82" i="2"/>
  <c r="Q81" i="2"/>
  <c r="V43" i="2"/>
  <c r="W43" i="2" s="1"/>
  <c r="Y43" i="2"/>
  <c r="Q44" i="2"/>
  <c r="R44" i="2" s="1"/>
  <c r="J46" i="2"/>
  <c r="AA42" i="2"/>
  <c r="AA43" i="2"/>
  <c r="S43" i="2"/>
  <c r="S79" i="2"/>
  <c r="R79" i="2"/>
  <c r="O46" i="2"/>
  <c r="U44" i="2"/>
  <c r="R43" i="6" l="1"/>
  <c r="Y43" i="6"/>
  <c r="L78" i="6"/>
  <c r="W77" i="6"/>
  <c r="O49" i="6"/>
  <c r="U48" i="6"/>
  <c r="V47" i="6"/>
  <c r="W47" i="6" s="1"/>
  <c r="V92" i="6"/>
  <c r="G41" i="6"/>
  <c r="AA40" i="6"/>
  <c r="S40" i="6"/>
  <c r="J81" i="6"/>
  <c r="Q79" i="6"/>
  <c r="Q44" i="6"/>
  <c r="J46" i="6"/>
  <c r="O94" i="6"/>
  <c r="U93" i="6"/>
  <c r="R78" i="6"/>
  <c r="AA78" i="6" s="1"/>
  <c r="S78" i="6"/>
  <c r="Y78" i="6"/>
  <c r="O59" i="5"/>
  <c r="AB57" i="5"/>
  <c r="U57" i="5"/>
  <c r="W79" i="5"/>
  <c r="Y79" i="5"/>
  <c r="V79" i="5"/>
  <c r="Q91" i="5"/>
  <c r="J92" i="5"/>
  <c r="O93" i="5"/>
  <c r="U92" i="5"/>
  <c r="AB92" i="5"/>
  <c r="AC92" i="5" s="1"/>
  <c r="J46" i="5"/>
  <c r="Q44" i="5"/>
  <c r="R44" i="5" s="1"/>
  <c r="AC79" i="5"/>
  <c r="AA89" i="5"/>
  <c r="S90" i="5"/>
  <c r="R90" i="5"/>
  <c r="V91" i="5"/>
  <c r="W91" i="5"/>
  <c r="O44" i="5"/>
  <c r="U43" i="5"/>
  <c r="AB43" i="5"/>
  <c r="S43" i="5"/>
  <c r="V56" i="5"/>
  <c r="W56" i="5" s="1"/>
  <c r="AA41" i="5"/>
  <c r="Y42" i="5"/>
  <c r="V42" i="5"/>
  <c r="S43" i="4"/>
  <c r="O82" i="4"/>
  <c r="U81" i="4"/>
  <c r="AA78" i="4"/>
  <c r="J46" i="4"/>
  <c r="Q44" i="4"/>
  <c r="R44" i="4" s="1"/>
  <c r="V79" i="4"/>
  <c r="Y79" i="4"/>
  <c r="S79" i="4"/>
  <c r="R79" i="4"/>
  <c r="D24" i="4" s="1"/>
  <c r="O46" i="4"/>
  <c r="U44" i="4"/>
  <c r="L78" i="4"/>
  <c r="W77" i="4"/>
  <c r="Q81" i="4"/>
  <c r="J82" i="4"/>
  <c r="V43" i="4"/>
  <c r="W43" i="4" s="1"/>
  <c r="Y43" i="4"/>
  <c r="G79" i="3"/>
  <c r="W78" i="3"/>
  <c r="U43" i="3"/>
  <c r="V43" i="3" s="1"/>
  <c r="W43" i="3" s="1"/>
  <c r="O44" i="3"/>
  <c r="S78" i="3"/>
  <c r="W78" i="2"/>
  <c r="V78" i="2"/>
  <c r="AA78" i="2" s="1"/>
  <c r="Y78" i="2"/>
  <c r="U79" i="2"/>
  <c r="O81" i="2"/>
  <c r="J44" i="3"/>
  <c r="Q43" i="3"/>
  <c r="Q81" i="3"/>
  <c r="J82" i="3"/>
  <c r="S79" i="3"/>
  <c r="R79" i="3"/>
  <c r="Y79" i="3"/>
  <c r="O84" i="3"/>
  <c r="U83" i="3"/>
  <c r="V82" i="3"/>
  <c r="AA41" i="3"/>
  <c r="S41" i="3"/>
  <c r="R42" i="3"/>
  <c r="Y42" i="3"/>
  <c r="J47" i="2"/>
  <c r="Q46" i="2"/>
  <c r="R46" i="2" s="1"/>
  <c r="V44" i="2"/>
  <c r="W44" i="2" s="1"/>
  <c r="W45" i="2" s="1"/>
  <c r="Y44" i="2"/>
  <c r="AA44" i="2"/>
  <c r="AA45" i="2" s="1"/>
  <c r="S44" i="2"/>
  <c r="S45" i="2" s="1"/>
  <c r="R81" i="2"/>
  <c r="S81" i="2"/>
  <c r="O47" i="2"/>
  <c r="U46" i="2"/>
  <c r="Q82" i="2"/>
  <c r="J83" i="2"/>
  <c r="U94" i="6" l="1"/>
  <c r="O95" i="6"/>
  <c r="V48" i="6"/>
  <c r="W48" i="6" s="1"/>
  <c r="L79" i="6"/>
  <c r="W78" i="6"/>
  <c r="Q46" i="6"/>
  <c r="J47" i="6"/>
  <c r="R79" i="6"/>
  <c r="S79" i="6"/>
  <c r="Y79" i="6"/>
  <c r="G42" i="6"/>
  <c r="S41" i="6"/>
  <c r="AA41" i="6"/>
  <c r="O50" i="6"/>
  <c r="U49" i="6"/>
  <c r="V93" i="6"/>
  <c r="R44" i="6"/>
  <c r="Y44" i="6"/>
  <c r="Q81" i="6"/>
  <c r="J82" i="6"/>
  <c r="O61" i="5"/>
  <c r="AB59" i="5"/>
  <c r="AC59" i="5" s="1"/>
  <c r="U59" i="5"/>
  <c r="AB60" i="5"/>
  <c r="U60" i="5"/>
  <c r="W42" i="5"/>
  <c r="AA42" i="5"/>
  <c r="U44" i="5"/>
  <c r="AB44" i="5"/>
  <c r="AC44" i="5" s="1"/>
  <c r="O46" i="5"/>
  <c r="V92" i="5"/>
  <c r="W92" i="5"/>
  <c r="AA90" i="5"/>
  <c r="V43" i="5"/>
  <c r="Y43" i="5"/>
  <c r="L24" i="5"/>
  <c r="S44" i="5"/>
  <c r="S45" i="5" s="1"/>
  <c r="O94" i="5"/>
  <c r="U93" i="5"/>
  <c r="AB93" i="5"/>
  <c r="AC93" i="5" s="1"/>
  <c r="V57" i="5"/>
  <c r="W57" i="5" s="1"/>
  <c r="S91" i="5"/>
  <c r="R91" i="5"/>
  <c r="AA91" i="5" s="1"/>
  <c r="AC43" i="5"/>
  <c r="Y91" i="5"/>
  <c r="Q46" i="5"/>
  <c r="R46" i="5" s="1"/>
  <c r="J47" i="5"/>
  <c r="J93" i="5"/>
  <c r="Q92" i="5"/>
  <c r="Y92" i="5" s="1"/>
  <c r="AA79" i="5"/>
  <c r="D24" i="5"/>
  <c r="AC57" i="5"/>
  <c r="L79" i="4"/>
  <c r="W78" i="4"/>
  <c r="Y44" i="4"/>
  <c r="V44" i="4"/>
  <c r="W44" i="4" s="1"/>
  <c r="W45" i="4" s="1"/>
  <c r="J47" i="4"/>
  <c r="Q46" i="4"/>
  <c r="R46" i="4" s="1"/>
  <c r="U82" i="4"/>
  <c r="O83" i="4"/>
  <c r="J83" i="4"/>
  <c r="Q82" i="4"/>
  <c r="U46" i="4"/>
  <c r="O47" i="4"/>
  <c r="L24" i="4"/>
  <c r="R81" i="4"/>
  <c r="S81" i="4"/>
  <c r="AA79" i="4"/>
  <c r="AA43" i="4"/>
  <c r="AA45" i="4" s="1"/>
  <c r="S44" i="4"/>
  <c r="S45" i="4" s="1"/>
  <c r="AA44" i="4"/>
  <c r="V81" i="4"/>
  <c r="AA81" i="4" s="1"/>
  <c r="Y81" i="4"/>
  <c r="L24" i="2"/>
  <c r="U44" i="3"/>
  <c r="V44" i="3" s="1"/>
  <c r="W44" i="3" s="1"/>
  <c r="W45" i="3" s="1"/>
  <c r="O46" i="3"/>
  <c r="O82" i="2"/>
  <c r="U81" i="2"/>
  <c r="W79" i="2"/>
  <c r="Y79" i="2"/>
  <c r="V79" i="2"/>
  <c r="G81" i="3"/>
  <c r="W79" i="3"/>
  <c r="D24" i="3"/>
  <c r="AA79" i="3"/>
  <c r="R43" i="3"/>
  <c r="Y43" i="3"/>
  <c r="V83" i="3"/>
  <c r="Q44" i="3"/>
  <c r="J46" i="3"/>
  <c r="R81" i="3"/>
  <c r="S81" i="3"/>
  <c r="Y81" i="3"/>
  <c r="S42" i="3"/>
  <c r="AA42" i="3"/>
  <c r="O85" i="3"/>
  <c r="U84" i="3"/>
  <c r="L24" i="3"/>
  <c r="Q82" i="3"/>
  <c r="J83" i="3"/>
  <c r="S82" i="2"/>
  <c r="R82" i="2"/>
  <c r="V46" i="2"/>
  <c r="W46" i="2" s="1"/>
  <c r="Y46" i="2"/>
  <c r="O48" i="2"/>
  <c r="U47" i="2"/>
  <c r="S46" i="2"/>
  <c r="J84" i="2"/>
  <c r="Q83" i="2"/>
  <c r="J48" i="2"/>
  <c r="Q47" i="2"/>
  <c r="R47" i="2" s="1"/>
  <c r="O96" i="6" l="1"/>
  <c r="U95" i="6"/>
  <c r="Q82" i="6"/>
  <c r="J83" i="6"/>
  <c r="V49" i="6"/>
  <c r="W49" i="6" s="1"/>
  <c r="AA79" i="6"/>
  <c r="D24" i="6"/>
  <c r="L81" i="6"/>
  <c r="W79" i="6"/>
  <c r="V94" i="6"/>
  <c r="S81" i="6"/>
  <c r="R81" i="6"/>
  <c r="Y81" i="6"/>
  <c r="U50" i="6"/>
  <c r="O51" i="6"/>
  <c r="G43" i="6"/>
  <c r="AA42" i="6"/>
  <c r="S42" i="6"/>
  <c r="Q47" i="6"/>
  <c r="J48" i="6"/>
  <c r="L24" i="6"/>
  <c r="R46" i="6"/>
  <c r="Y46" i="6"/>
  <c r="Q47" i="5"/>
  <c r="R47" i="5" s="1"/>
  <c r="J48" i="5"/>
  <c r="V60" i="5"/>
  <c r="W60" i="5" s="1"/>
  <c r="O63" i="5"/>
  <c r="AB61" i="5"/>
  <c r="U61" i="5"/>
  <c r="AB62" i="5"/>
  <c r="U62" i="5"/>
  <c r="J94" i="5"/>
  <c r="Q93" i="5"/>
  <c r="AB46" i="5"/>
  <c r="AC46" i="5" s="1"/>
  <c r="U46" i="5"/>
  <c r="AB47" i="5"/>
  <c r="AC47" i="5" s="1"/>
  <c r="U47" i="5"/>
  <c r="S46" i="5"/>
  <c r="W93" i="5"/>
  <c r="V93" i="5"/>
  <c r="V44" i="5"/>
  <c r="Y44" i="5"/>
  <c r="AC60" i="5"/>
  <c r="S92" i="5"/>
  <c r="R92" i="5"/>
  <c r="O95" i="5"/>
  <c r="AB94" i="5"/>
  <c r="AC94" i="5" s="1"/>
  <c r="U94" i="5"/>
  <c r="W43" i="5"/>
  <c r="AA43" i="5"/>
  <c r="AA92" i="5"/>
  <c r="V59" i="5"/>
  <c r="W59" i="5" s="1"/>
  <c r="S82" i="4"/>
  <c r="R82" i="4"/>
  <c r="S46" i="4"/>
  <c r="Q83" i="4"/>
  <c r="J84" i="4"/>
  <c r="Q47" i="4"/>
  <c r="R47" i="4" s="1"/>
  <c r="J48" i="4"/>
  <c r="L81" i="4"/>
  <c r="W79" i="4"/>
  <c r="U47" i="4"/>
  <c r="O48" i="4"/>
  <c r="O84" i="4"/>
  <c r="U83" i="4"/>
  <c r="Y46" i="4"/>
  <c r="V46" i="4"/>
  <c r="W46" i="4" s="1"/>
  <c r="Y82" i="4"/>
  <c r="V82" i="4"/>
  <c r="AA79" i="2"/>
  <c r="D24" i="2"/>
  <c r="U82" i="2"/>
  <c r="O83" i="2"/>
  <c r="O47" i="3"/>
  <c r="U46" i="3"/>
  <c r="V46" i="3" s="1"/>
  <c r="W46" i="3" s="1"/>
  <c r="AA46" i="2"/>
  <c r="G82" i="3"/>
  <c r="W81" i="3"/>
  <c r="Y81" i="2"/>
  <c r="W81" i="2"/>
  <c r="V81" i="2"/>
  <c r="AA81" i="2" s="1"/>
  <c r="Q83" i="3"/>
  <c r="J84" i="3"/>
  <c r="S82" i="3"/>
  <c r="R82" i="3"/>
  <c r="AA82" i="3" s="1"/>
  <c r="Y82" i="3"/>
  <c r="U85" i="3"/>
  <c r="O86" i="3"/>
  <c r="Q46" i="3"/>
  <c r="J47" i="3"/>
  <c r="V84" i="3"/>
  <c r="R44" i="3"/>
  <c r="Y44" i="3"/>
  <c r="S43" i="3"/>
  <c r="AA43" i="3"/>
  <c r="AA81" i="3"/>
  <c r="J49" i="2"/>
  <c r="Q48" i="2"/>
  <c r="R48" i="2" s="1"/>
  <c r="S83" i="2"/>
  <c r="R83" i="2"/>
  <c r="Y47" i="2"/>
  <c r="V47" i="2"/>
  <c r="W47" i="2" s="1"/>
  <c r="Q84" i="2"/>
  <c r="J85" i="2"/>
  <c r="U48" i="2"/>
  <c r="O49" i="2"/>
  <c r="AA47" i="2"/>
  <c r="S47" i="2"/>
  <c r="Q83" i="6" l="1"/>
  <c r="J84" i="6"/>
  <c r="Q48" i="6"/>
  <c r="J49" i="6"/>
  <c r="G44" i="6"/>
  <c r="S43" i="6"/>
  <c r="AA43" i="6"/>
  <c r="AA81" i="6"/>
  <c r="S82" i="6"/>
  <c r="R82" i="6"/>
  <c r="AA82" i="6" s="1"/>
  <c r="Y82" i="6"/>
  <c r="R47" i="6"/>
  <c r="Y47" i="6"/>
  <c r="O52" i="6"/>
  <c r="U51" i="6"/>
  <c r="V95" i="6"/>
  <c r="V50" i="6"/>
  <c r="W50" i="6" s="1"/>
  <c r="L82" i="6"/>
  <c r="W81" i="6"/>
  <c r="U96" i="6"/>
  <c r="O97" i="6"/>
  <c r="AB95" i="5"/>
  <c r="U95" i="5"/>
  <c r="O96" i="5"/>
  <c r="W44" i="5"/>
  <c r="W45" i="5" s="1"/>
  <c r="AA44" i="5"/>
  <c r="AA45" i="5" s="1"/>
  <c r="V47" i="5"/>
  <c r="W47" i="5" s="1"/>
  <c r="Y47" i="5"/>
  <c r="J95" i="5"/>
  <c r="Q94" i="5"/>
  <c r="AC61" i="5"/>
  <c r="Q48" i="5"/>
  <c r="J49" i="5"/>
  <c r="R93" i="5"/>
  <c r="AA93" i="5" s="1"/>
  <c r="S93" i="5"/>
  <c r="V62" i="5"/>
  <c r="W62" i="5" s="1"/>
  <c r="U63" i="5"/>
  <c r="AB63" i="5"/>
  <c r="S47" i="5"/>
  <c r="V61" i="5"/>
  <c r="W61" i="5" s="1"/>
  <c r="W94" i="5"/>
  <c r="V94" i="5"/>
  <c r="Y94" i="5"/>
  <c r="Y93" i="5"/>
  <c r="V46" i="5"/>
  <c r="Y46" i="5"/>
  <c r="AC62" i="5"/>
  <c r="AA82" i="4"/>
  <c r="V83" i="4"/>
  <c r="Y83" i="4"/>
  <c r="J85" i="4"/>
  <c r="Q84" i="4"/>
  <c r="AA46" i="4"/>
  <c r="V47" i="4"/>
  <c r="W47" i="4" s="1"/>
  <c r="Y47" i="4"/>
  <c r="U84" i="4"/>
  <c r="O85" i="4"/>
  <c r="L82" i="4"/>
  <c r="W81" i="4"/>
  <c r="R83" i="4"/>
  <c r="S83" i="4"/>
  <c r="AA47" i="4"/>
  <c r="S47" i="4"/>
  <c r="U48" i="4"/>
  <c r="O49" i="4"/>
  <c r="Q48" i="4"/>
  <c r="R48" i="4" s="1"/>
  <c r="J49" i="4"/>
  <c r="G83" i="3"/>
  <c r="W82" i="3"/>
  <c r="U83" i="2"/>
  <c r="O84" i="2"/>
  <c r="Y82" i="2"/>
  <c r="V82" i="2"/>
  <c r="AA82" i="2" s="1"/>
  <c r="W82" i="2"/>
  <c r="U47" i="3"/>
  <c r="V47" i="3" s="1"/>
  <c r="W47" i="3" s="1"/>
  <c r="O48" i="3"/>
  <c r="R46" i="3"/>
  <c r="Y46" i="3"/>
  <c r="AA44" i="3"/>
  <c r="AA45" i="3" s="1"/>
  <c r="S44" i="3"/>
  <c r="S45" i="3" s="1"/>
  <c r="O88" i="3"/>
  <c r="U86" i="3"/>
  <c r="S83" i="3"/>
  <c r="R83" i="3"/>
  <c r="AA83" i="3" s="1"/>
  <c r="Y83" i="3"/>
  <c r="Q47" i="3"/>
  <c r="J48" i="3"/>
  <c r="V85" i="3"/>
  <c r="Q84" i="3"/>
  <c r="J85" i="3"/>
  <c r="V48" i="2"/>
  <c r="W48" i="2" s="1"/>
  <c r="Y48" i="2"/>
  <c r="S48" i="2"/>
  <c r="J86" i="2"/>
  <c r="Q85" i="2"/>
  <c r="J50" i="2"/>
  <c r="Q49" i="2"/>
  <c r="R49" i="2" s="1"/>
  <c r="U49" i="2"/>
  <c r="O50" i="2"/>
  <c r="S84" i="2"/>
  <c r="R84" i="2"/>
  <c r="O98" i="6" l="1"/>
  <c r="U97" i="6"/>
  <c r="V51" i="6"/>
  <c r="W51" i="6" s="1"/>
  <c r="G46" i="6"/>
  <c r="S44" i="6"/>
  <c r="S45" i="6" s="1"/>
  <c r="AA44" i="6"/>
  <c r="AA45" i="6" s="1"/>
  <c r="V96" i="6"/>
  <c r="U52" i="6"/>
  <c r="O53" i="6"/>
  <c r="Q49" i="6"/>
  <c r="J50" i="6"/>
  <c r="R48" i="6"/>
  <c r="Y48" i="6"/>
  <c r="Q84" i="6"/>
  <c r="J85" i="6"/>
  <c r="L83" i="6"/>
  <c r="W82" i="6"/>
  <c r="S83" i="6"/>
  <c r="R83" i="6"/>
  <c r="AA83" i="6" s="1"/>
  <c r="Y83" i="6"/>
  <c r="AB96" i="5"/>
  <c r="U96" i="5"/>
  <c r="O97" i="5"/>
  <c r="AA47" i="5"/>
  <c r="R94" i="5"/>
  <c r="AA94" i="5" s="1"/>
  <c r="S94" i="5"/>
  <c r="W95" i="5"/>
  <c r="V95" i="5"/>
  <c r="AC63" i="5"/>
  <c r="Q49" i="5"/>
  <c r="J50" i="5"/>
  <c r="J96" i="5"/>
  <c r="Q95" i="5"/>
  <c r="AC95" i="5"/>
  <c r="W46" i="5"/>
  <c r="W58" i="5" s="1"/>
  <c r="AA46" i="5"/>
  <c r="V63" i="5"/>
  <c r="W63" i="5" s="1"/>
  <c r="W64" i="5" s="1"/>
  <c r="O104" i="5"/>
  <c r="R48" i="5"/>
  <c r="Y48" i="5"/>
  <c r="Q49" i="4"/>
  <c r="R49" i="4" s="1"/>
  <c r="J50" i="4"/>
  <c r="O86" i="4"/>
  <c r="U85" i="4"/>
  <c r="AA83" i="4"/>
  <c r="V48" i="4"/>
  <c r="W48" i="4" s="1"/>
  <c r="Y48" i="4"/>
  <c r="L83" i="4"/>
  <c r="W82" i="4"/>
  <c r="AA48" i="4"/>
  <c r="S48" i="4"/>
  <c r="Y84" i="4"/>
  <c r="V84" i="4"/>
  <c r="S84" i="4"/>
  <c r="R84" i="4"/>
  <c r="U49" i="4"/>
  <c r="O50" i="4"/>
  <c r="Q85" i="4"/>
  <c r="J86" i="4"/>
  <c r="U84" i="2"/>
  <c r="O85" i="2"/>
  <c r="Y83" i="2"/>
  <c r="V83" i="2"/>
  <c r="AA83" i="2" s="1"/>
  <c r="W83" i="2"/>
  <c r="U48" i="3"/>
  <c r="V48" i="3" s="1"/>
  <c r="W48" i="3" s="1"/>
  <c r="O49" i="3"/>
  <c r="G84" i="3"/>
  <c r="S84" i="3" s="1"/>
  <c r="W83" i="3"/>
  <c r="R84" i="3"/>
  <c r="Y84" i="3"/>
  <c r="Q48" i="3"/>
  <c r="J49" i="3"/>
  <c r="S46" i="3"/>
  <c r="AA46" i="3"/>
  <c r="Q85" i="3"/>
  <c r="J86" i="3"/>
  <c r="U88" i="3"/>
  <c r="O89" i="3"/>
  <c r="R47" i="3"/>
  <c r="Y47" i="3"/>
  <c r="V86" i="3"/>
  <c r="V49" i="2"/>
  <c r="W49" i="2" s="1"/>
  <c r="Y49" i="2"/>
  <c r="S49" i="2"/>
  <c r="S85" i="2"/>
  <c r="R85" i="2"/>
  <c r="O51" i="2"/>
  <c r="U50" i="2"/>
  <c r="J51" i="2"/>
  <c r="Q50" i="2"/>
  <c r="R50" i="2" s="1"/>
  <c r="J88" i="2"/>
  <c r="Q86" i="2"/>
  <c r="AA48" i="2"/>
  <c r="Q85" i="6" l="1"/>
  <c r="J86" i="6"/>
  <c r="S84" i="6"/>
  <c r="R84" i="6"/>
  <c r="AA84" i="6" s="1"/>
  <c r="Y84" i="6"/>
  <c r="O54" i="6"/>
  <c r="U53" i="6"/>
  <c r="G47" i="6"/>
  <c r="AA46" i="6"/>
  <c r="S46" i="6"/>
  <c r="V97" i="6"/>
  <c r="Q50" i="6"/>
  <c r="J51" i="6"/>
  <c r="V52" i="6"/>
  <c r="W52" i="6" s="1"/>
  <c r="U98" i="6"/>
  <c r="O99" i="6"/>
  <c r="L84" i="6"/>
  <c r="W83" i="6"/>
  <c r="R49" i="6"/>
  <c r="Y49" i="6"/>
  <c r="W96" i="5"/>
  <c r="V96" i="5"/>
  <c r="J97" i="5"/>
  <c r="Q96" i="5"/>
  <c r="AA95" i="5"/>
  <c r="AC96" i="5"/>
  <c r="Q50" i="5"/>
  <c r="J51" i="5"/>
  <c r="R95" i="5"/>
  <c r="S95" i="5"/>
  <c r="Y95" i="5"/>
  <c r="AA48" i="5"/>
  <c r="S48" i="5"/>
  <c r="R49" i="5"/>
  <c r="Y49" i="5"/>
  <c r="AB97" i="5"/>
  <c r="AC97" i="5" s="1"/>
  <c r="O98" i="5"/>
  <c r="U97" i="5"/>
  <c r="L84" i="4"/>
  <c r="W83" i="4"/>
  <c r="S49" i="4"/>
  <c r="J88" i="4"/>
  <c r="Q86" i="4"/>
  <c r="V49" i="4"/>
  <c r="W49" i="4" s="1"/>
  <c r="Y49" i="4"/>
  <c r="AA84" i="4"/>
  <c r="V85" i="4"/>
  <c r="AA85" i="4" s="1"/>
  <c r="Y85" i="4"/>
  <c r="O88" i="4"/>
  <c r="U86" i="4"/>
  <c r="U50" i="4"/>
  <c r="O51" i="4"/>
  <c r="R85" i="4"/>
  <c r="S85" i="4"/>
  <c r="Q50" i="4"/>
  <c r="R50" i="4" s="1"/>
  <c r="J51" i="4"/>
  <c r="O50" i="3"/>
  <c r="U49" i="3"/>
  <c r="V49" i="3" s="1"/>
  <c r="W49" i="3" s="1"/>
  <c r="O86" i="2"/>
  <c r="U85" i="2"/>
  <c r="G85" i="3"/>
  <c r="W84" i="3"/>
  <c r="V84" i="2"/>
  <c r="AA84" i="2" s="1"/>
  <c r="W84" i="2"/>
  <c r="Y84" i="2"/>
  <c r="Q86" i="3"/>
  <c r="J88" i="3"/>
  <c r="O90" i="3"/>
  <c r="U89" i="3"/>
  <c r="Q49" i="3"/>
  <c r="J50" i="3"/>
  <c r="V88" i="3"/>
  <c r="R48" i="3"/>
  <c r="Y48" i="3"/>
  <c r="AA84" i="3"/>
  <c r="AA47" i="3"/>
  <c r="S47" i="3"/>
  <c r="R85" i="3"/>
  <c r="AA85" i="3" s="1"/>
  <c r="S85" i="3"/>
  <c r="Y85" i="3"/>
  <c r="S86" i="2"/>
  <c r="R86" i="2"/>
  <c r="J89" i="2"/>
  <c r="Q88" i="2"/>
  <c r="S50" i="2"/>
  <c r="Y50" i="2"/>
  <c r="V50" i="2"/>
  <c r="W50" i="2" s="1"/>
  <c r="J52" i="2"/>
  <c r="Q51" i="2"/>
  <c r="R51" i="2" s="1"/>
  <c r="O52" i="2"/>
  <c r="U51" i="2"/>
  <c r="AA49" i="2"/>
  <c r="O100" i="6" l="1"/>
  <c r="U99" i="6"/>
  <c r="U54" i="6"/>
  <c r="O55" i="6"/>
  <c r="V98" i="6"/>
  <c r="Q51" i="6"/>
  <c r="J52" i="6"/>
  <c r="R50" i="6"/>
  <c r="Y50" i="6"/>
  <c r="G48" i="6"/>
  <c r="S47" i="6"/>
  <c r="AA47" i="6"/>
  <c r="J88" i="6"/>
  <c r="Q86" i="6"/>
  <c r="L85" i="6"/>
  <c r="W84" i="6"/>
  <c r="V53" i="6"/>
  <c r="W53" i="6" s="1"/>
  <c r="S85" i="6"/>
  <c r="R85" i="6"/>
  <c r="AA85" i="6" s="1"/>
  <c r="Y85" i="6"/>
  <c r="AA49" i="5"/>
  <c r="S49" i="5"/>
  <c r="AA96" i="5"/>
  <c r="R50" i="5"/>
  <c r="Y50" i="5"/>
  <c r="S96" i="5"/>
  <c r="R96" i="5"/>
  <c r="AB98" i="5"/>
  <c r="AC98" i="5" s="1"/>
  <c r="O99" i="5"/>
  <c r="U98" i="5"/>
  <c r="J98" i="5"/>
  <c r="Q97" i="5"/>
  <c r="Q51" i="5"/>
  <c r="J52" i="5"/>
  <c r="W97" i="5"/>
  <c r="V97" i="5"/>
  <c r="Y96" i="5"/>
  <c r="V50" i="4"/>
  <c r="W50" i="4" s="1"/>
  <c r="Y50" i="4"/>
  <c r="L85" i="4"/>
  <c r="W84" i="4"/>
  <c r="V86" i="4"/>
  <c r="Y86" i="4"/>
  <c r="AA50" i="4"/>
  <c r="S50" i="4"/>
  <c r="U51" i="4"/>
  <c r="O52" i="4"/>
  <c r="J89" i="4"/>
  <c r="Q88" i="4"/>
  <c r="Q51" i="4"/>
  <c r="R51" i="4" s="1"/>
  <c r="J52" i="4"/>
  <c r="U88" i="4"/>
  <c r="O89" i="4"/>
  <c r="S86" i="4"/>
  <c r="R86" i="4"/>
  <c r="D25" i="4" s="1"/>
  <c r="AA49" i="4"/>
  <c r="U86" i="2"/>
  <c r="O88" i="2"/>
  <c r="V85" i="2"/>
  <c r="AA85" i="2" s="1"/>
  <c r="W85" i="2"/>
  <c r="Y85" i="2"/>
  <c r="G86" i="3"/>
  <c r="W85" i="3"/>
  <c r="O51" i="3"/>
  <c r="U50" i="3"/>
  <c r="V50" i="3" s="1"/>
  <c r="W50" i="3" s="1"/>
  <c r="S48" i="3"/>
  <c r="AA48" i="3"/>
  <c r="Q50" i="3"/>
  <c r="J51" i="3"/>
  <c r="V89" i="3"/>
  <c r="J89" i="3"/>
  <c r="Q88" i="3"/>
  <c r="D25" i="3"/>
  <c r="R49" i="3"/>
  <c r="Y49" i="3"/>
  <c r="U90" i="3"/>
  <c r="O91" i="3"/>
  <c r="S86" i="3"/>
  <c r="R86" i="3"/>
  <c r="AA86" i="3" s="1"/>
  <c r="Y86" i="3"/>
  <c r="L25" i="3"/>
  <c r="R88" i="2"/>
  <c r="S88" i="2"/>
  <c r="Y51" i="2"/>
  <c r="V51" i="2"/>
  <c r="W51" i="2" s="1"/>
  <c r="AA50" i="2"/>
  <c r="Q89" i="2"/>
  <c r="J90" i="2"/>
  <c r="O53" i="2"/>
  <c r="U52" i="2"/>
  <c r="J53" i="2"/>
  <c r="Q52" i="2"/>
  <c r="R52" i="2" s="1"/>
  <c r="S51" i="2"/>
  <c r="S86" i="6" l="1"/>
  <c r="R86" i="6"/>
  <c r="Y86" i="6"/>
  <c r="Q52" i="6"/>
  <c r="J53" i="6"/>
  <c r="L86" i="6"/>
  <c r="W85" i="6"/>
  <c r="Q88" i="6"/>
  <c r="J89" i="6"/>
  <c r="R51" i="6"/>
  <c r="Y51" i="6"/>
  <c r="O56" i="6"/>
  <c r="U55" i="6"/>
  <c r="U100" i="6"/>
  <c r="O101" i="6"/>
  <c r="U101" i="6" s="1"/>
  <c r="V54" i="6"/>
  <c r="W54" i="6" s="1"/>
  <c r="G49" i="6"/>
  <c r="AA48" i="6"/>
  <c r="S48" i="6"/>
  <c r="V99" i="6"/>
  <c r="S97" i="5"/>
  <c r="R97" i="5"/>
  <c r="AA97" i="5" s="1"/>
  <c r="AB99" i="5"/>
  <c r="O100" i="5"/>
  <c r="U99" i="5"/>
  <c r="J99" i="5"/>
  <c r="Q98" i="5"/>
  <c r="AA50" i="5"/>
  <c r="S50" i="5"/>
  <c r="Q52" i="5"/>
  <c r="J53" i="5"/>
  <c r="Y97" i="5"/>
  <c r="R51" i="5"/>
  <c r="Y51" i="5"/>
  <c r="W98" i="5"/>
  <c r="V98" i="5"/>
  <c r="R88" i="4"/>
  <c r="S88" i="4"/>
  <c r="Q52" i="4"/>
  <c r="R52" i="4" s="1"/>
  <c r="J53" i="4"/>
  <c r="J90" i="4"/>
  <c r="Q89" i="4"/>
  <c r="AA86" i="4"/>
  <c r="O90" i="4"/>
  <c r="U89" i="4"/>
  <c r="S51" i="4"/>
  <c r="U52" i="4"/>
  <c r="O53" i="4"/>
  <c r="L86" i="4"/>
  <c r="W85" i="4"/>
  <c r="Y88" i="4"/>
  <c r="V88" i="4"/>
  <c r="AA88" i="4" s="1"/>
  <c r="V51" i="4"/>
  <c r="W51" i="4" s="1"/>
  <c r="Y51" i="4"/>
  <c r="L25" i="4"/>
  <c r="O52" i="3"/>
  <c r="U51" i="3"/>
  <c r="V51" i="3" s="1"/>
  <c r="W51" i="3" s="1"/>
  <c r="D25" i="2"/>
  <c r="G88" i="3"/>
  <c r="W86" i="3"/>
  <c r="O89" i="2"/>
  <c r="U88" i="2"/>
  <c r="W86" i="2"/>
  <c r="V86" i="2"/>
  <c r="AA86" i="2" s="1"/>
  <c r="Y86" i="2"/>
  <c r="L25" i="2" s="1"/>
  <c r="Q89" i="3"/>
  <c r="J90" i="3"/>
  <c r="O92" i="3"/>
  <c r="U91" i="3"/>
  <c r="Q51" i="3"/>
  <c r="J52" i="3"/>
  <c r="V90" i="3"/>
  <c r="R50" i="3"/>
  <c r="Y50" i="3"/>
  <c r="AA49" i="3"/>
  <c r="S49" i="3"/>
  <c r="R88" i="3"/>
  <c r="Y88" i="3"/>
  <c r="J54" i="2"/>
  <c r="Q53" i="2"/>
  <c r="R53" i="2" s="1"/>
  <c r="O54" i="2"/>
  <c r="U53" i="2"/>
  <c r="Q90" i="2"/>
  <c r="J91" i="2"/>
  <c r="S89" i="2"/>
  <c r="R89" i="2"/>
  <c r="AA51" i="2"/>
  <c r="S52" i="2"/>
  <c r="AA52" i="2"/>
  <c r="V52" i="2"/>
  <c r="W52" i="2" s="1"/>
  <c r="Y52" i="2"/>
  <c r="V55" i="6" l="1"/>
  <c r="W55" i="6" s="1"/>
  <c r="L88" i="6"/>
  <c r="W86" i="6"/>
  <c r="AA86" i="6"/>
  <c r="D25" i="6"/>
  <c r="G50" i="6"/>
  <c r="S49" i="6"/>
  <c r="AA49" i="6"/>
  <c r="V100" i="6"/>
  <c r="L25" i="6"/>
  <c r="U56" i="6"/>
  <c r="O57" i="6"/>
  <c r="Q89" i="6"/>
  <c r="J90" i="6"/>
  <c r="Q53" i="6"/>
  <c r="J54" i="6"/>
  <c r="V101" i="6"/>
  <c r="O105" i="6"/>
  <c r="S88" i="6"/>
  <c r="R88" i="6"/>
  <c r="Y88" i="6"/>
  <c r="R52" i="6"/>
  <c r="Y52" i="6"/>
  <c r="Q53" i="5"/>
  <c r="J54" i="5"/>
  <c r="S98" i="5"/>
  <c r="R98" i="5"/>
  <c r="W99" i="5"/>
  <c r="V99" i="5"/>
  <c r="Y98" i="5"/>
  <c r="AA51" i="5"/>
  <c r="S51" i="5"/>
  <c r="R52" i="5"/>
  <c r="Y52" i="5"/>
  <c r="J100" i="5"/>
  <c r="Q99" i="5"/>
  <c r="AB100" i="5"/>
  <c r="AC100" i="5" s="1"/>
  <c r="O101" i="5"/>
  <c r="U100" i="5"/>
  <c r="AA98" i="5"/>
  <c r="AC99" i="5"/>
  <c r="L88" i="4"/>
  <c r="W86" i="4"/>
  <c r="AA51" i="4"/>
  <c r="S52" i="4"/>
  <c r="U53" i="4"/>
  <c r="O54" i="4"/>
  <c r="Y89" i="4"/>
  <c r="V89" i="4"/>
  <c r="AA89" i="4" s="1"/>
  <c r="R89" i="4"/>
  <c r="S89" i="4"/>
  <c r="Q53" i="4"/>
  <c r="R53" i="4" s="1"/>
  <c r="J54" i="4"/>
  <c r="V52" i="4"/>
  <c r="W52" i="4" s="1"/>
  <c r="Y52" i="4"/>
  <c r="U90" i="4"/>
  <c r="O91" i="4"/>
  <c r="J91" i="4"/>
  <c r="Q90" i="4"/>
  <c r="G89" i="3"/>
  <c r="W88" i="3"/>
  <c r="S88" i="3"/>
  <c r="W88" i="2"/>
  <c r="V88" i="2"/>
  <c r="AA88" i="2" s="1"/>
  <c r="Y88" i="2"/>
  <c r="U89" i="2"/>
  <c r="O90" i="2"/>
  <c r="U52" i="3"/>
  <c r="V52" i="3" s="1"/>
  <c r="W52" i="3" s="1"/>
  <c r="O53" i="3"/>
  <c r="R51" i="3"/>
  <c r="Y51" i="3"/>
  <c r="R89" i="3"/>
  <c r="AA89" i="3" s="1"/>
  <c r="S89" i="3"/>
  <c r="Y89" i="3"/>
  <c r="U92" i="3"/>
  <c r="O93" i="3"/>
  <c r="AA88" i="3"/>
  <c r="V91" i="3"/>
  <c r="S50" i="3"/>
  <c r="AA50" i="3"/>
  <c r="J53" i="3"/>
  <c r="Q52" i="3"/>
  <c r="J91" i="3"/>
  <c r="Q90" i="3"/>
  <c r="S90" i="2"/>
  <c r="R90" i="2"/>
  <c r="J55" i="2"/>
  <c r="Q54" i="2"/>
  <c r="R54" i="2" s="1"/>
  <c r="Y53" i="2"/>
  <c r="V53" i="2"/>
  <c r="W53" i="2" s="1"/>
  <c r="U54" i="2"/>
  <c r="O55" i="2"/>
  <c r="Q91" i="2"/>
  <c r="J92" i="2"/>
  <c r="S53" i="2"/>
  <c r="Q54" i="6" l="1"/>
  <c r="J55" i="6"/>
  <c r="O59" i="6"/>
  <c r="U57" i="6"/>
  <c r="R53" i="6"/>
  <c r="Y53" i="6"/>
  <c r="V56" i="6"/>
  <c r="W56" i="6" s="1"/>
  <c r="G51" i="6"/>
  <c r="S50" i="6"/>
  <c r="AA50" i="6"/>
  <c r="Q90" i="6"/>
  <c r="J91" i="6"/>
  <c r="L89" i="6"/>
  <c r="W88" i="6"/>
  <c r="AA88" i="6"/>
  <c r="S89" i="6"/>
  <c r="R89" i="6"/>
  <c r="AA89" i="6" s="1"/>
  <c r="Y89" i="6"/>
  <c r="S99" i="5"/>
  <c r="R99" i="5"/>
  <c r="Y99" i="5"/>
  <c r="W100" i="5"/>
  <c r="V100" i="5"/>
  <c r="J101" i="5"/>
  <c r="Q101" i="5" s="1"/>
  <c r="Q100" i="5"/>
  <c r="Y100" i="5" s="1"/>
  <c r="AA99" i="5"/>
  <c r="Q54" i="5"/>
  <c r="J55" i="5"/>
  <c r="AB101" i="5"/>
  <c r="AC101" i="5" s="1"/>
  <c r="U101" i="5"/>
  <c r="R53" i="5"/>
  <c r="Y53" i="5"/>
  <c r="AA52" i="5"/>
  <c r="S52" i="5"/>
  <c r="R90" i="4"/>
  <c r="S90" i="4"/>
  <c r="L89" i="4"/>
  <c r="W88" i="4"/>
  <c r="J92" i="4"/>
  <c r="Q91" i="4"/>
  <c r="U54" i="4"/>
  <c r="O55" i="4"/>
  <c r="AA52" i="4"/>
  <c r="O92" i="4"/>
  <c r="U91" i="4"/>
  <c r="Q54" i="4"/>
  <c r="R54" i="4" s="1"/>
  <c r="J55" i="4"/>
  <c r="V53" i="4"/>
  <c r="W53" i="4" s="1"/>
  <c r="Y53" i="4"/>
  <c r="Y90" i="4"/>
  <c r="V90" i="4"/>
  <c r="AA90" i="4" s="1"/>
  <c r="S53" i="4"/>
  <c r="U53" i="3"/>
  <c r="V53" i="3" s="1"/>
  <c r="W53" i="3" s="1"/>
  <c r="O54" i="3"/>
  <c r="V89" i="2"/>
  <c r="AA89" i="2" s="1"/>
  <c r="Y89" i="2"/>
  <c r="W89" i="2"/>
  <c r="AA53" i="2"/>
  <c r="O91" i="2"/>
  <c r="U90" i="2"/>
  <c r="G90" i="3"/>
  <c r="W89" i="3"/>
  <c r="R52" i="3"/>
  <c r="Y52" i="3"/>
  <c r="Q53" i="3"/>
  <c r="J54" i="3"/>
  <c r="O94" i="3"/>
  <c r="U93" i="3"/>
  <c r="S90" i="3"/>
  <c r="R90" i="3"/>
  <c r="Y90" i="3"/>
  <c r="V92" i="3"/>
  <c r="Q91" i="3"/>
  <c r="J92" i="3"/>
  <c r="S51" i="3"/>
  <c r="AA51" i="3"/>
  <c r="S91" i="2"/>
  <c r="R91" i="2"/>
  <c r="U55" i="2"/>
  <c r="O56" i="2"/>
  <c r="S54" i="2"/>
  <c r="V54" i="2"/>
  <c r="W54" i="2" s="1"/>
  <c r="Y54" i="2"/>
  <c r="J56" i="2"/>
  <c r="Q55" i="2"/>
  <c r="R55" i="2" s="1"/>
  <c r="Q92" i="2"/>
  <c r="J93" i="2"/>
  <c r="S90" i="6" l="1"/>
  <c r="R90" i="6"/>
  <c r="Y90" i="6"/>
  <c r="G52" i="6"/>
  <c r="S51" i="6"/>
  <c r="AA51" i="6"/>
  <c r="O61" i="6"/>
  <c r="U59" i="6"/>
  <c r="U60" i="6"/>
  <c r="V57" i="6"/>
  <c r="W57" i="6" s="1"/>
  <c r="W58" i="6" s="1"/>
  <c r="L90" i="6"/>
  <c r="W89" i="6"/>
  <c r="Q55" i="6"/>
  <c r="J56" i="6"/>
  <c r="Q91" i="6"/>
  <c r="J92" i="6"/>
  <c r="R54" i="6"/>
  <c r="Y54" i="6"/>
  <c r="AA53" i="5"/>
  <c r="S53" i="5"/>
  <c r="Q55" i="5"/>
  <c r="J56" i="5"/>
  <c r="S101" i="5"/>
  <c r="R101" i="5"/>
  <c r="J105" i="5"/>
  <c r="R54" i="5"/>
  <c r="Y54" i="5"/>
  <c r="W101" i="5"/>
  <c r="V101" i="5"/>
  <c r="AA101" i="5" s="1"/>
  <c r="Y101" i="5"/>
  <c r="O105" i="5"/>
  <c r="S100" i="5"/>
  <c r="R100" i="5"/>
  <c r="AA100" i="5" s="1"/>
  <c r="L90" i="4"/>
  <c r="W89" i="4"/>
  <c r="Q55" i="4"/>
  <c r="R55" i="4" s="1"/>
  <c r="J56" i="4"/>
  <c r="R91" i="4"/>
  <c r="S91" i="4"/>
  <c r="V54" i="4"/>
  <c r="W54" i="4" s="1"/>
  <c r="Y54" i="4"/>
  <c r="AA53" i="4"/>
  <c r="S54" i="4"/>
  <c r="J93" i="4"/>
  <c r="Q92" i="4"/>
  <c r="U92" i="4"/>
  <c r="O93" i="4"/>
  <c r="Y91" i="4"/>
  <c r="V91" i="4"/>
  <c r="AA91" i="4" s="1"/>
  <c r="U55" i="4"/>
  <c r="O56" i="4"/>
  <c r="W90" i="2"/>
  <c r="V90" i="2"/>
  <c r="AA90" i="2" s="1"/>
  <c r="Y90" i="2"/>
  <c r="U91" i="2"/>
  <c r="O92" i="2"/>
  <c r="O55" i="3"/>
  <c r="U54" i="3"/>
  <c r="V54" i="3" s="1"/>
  <c r="W54" i="3" s="1"/>
  <c r="G91" i="3"/>
  <c r="W90" i="3"/>
  <c r="V93" i="3"/>
  <c r="R53" i="3"/>
  <c r="Y53" i="3"/>
  <c r="U94" i="3"/>
  <c r="O95" i="3"/>
  <c r="J93" i="3"/>
  <c r="Q92" i="3"/>
  <c r="AA90" i="3"/>
  <c r="R91" i="3"/>
  <c r="AA91" i="3" s="1"/>
  <c r="Y91" i="3"/>
  <c r="J55" i="3"/>
  <c r="Q54" i="3"/>
  <c r="S52" i="3"/>
  <c r="AA52" i="3"/>
  <c r="Q93" i="2"/>
  <c r="J94" i="2"/>
  <c r="S55" i="2"/>
  <c r="O57" i="2"/>
  <c r="U56" i="2"/>
  <c r="S92" i="2"/>
  <c r="R92" i="2"/>
  <c r="J57" i="2"/>
  <c r="Q56" i="2"/>
  <c r="R56" i="2" s="1"/>
  <c r="Y55" i="2"/>
  <c r="V55" i="2"/>
  <c r="W55" i="2" s="1"/>
  <c r="AA54" i="2"/>
  <c r="W102" i="5" l="1"/>
  <c r="L91" i="6"/>
  <c r="W90" i="6"/>
  <c r="V59" i="6"/>
  <c r="W59" i="6" s="1"/>
  <c r="V60" i="6"/>
  <c r="W60" i="6" s="1"/>
  <c r="Q92" i="6"/>
  <c r="J93" i="6"/>
  <c r="Q56" i="6"/>
  <c r="J57" i="6"/>
  <c r="O63" i="6"/>
  <c r="U63" i="6" s="1"/>
  <c r="U61" i="6"/>
  <c r="U62" i="6"/>
  <c r="AA90" i="6"/>
  <c r="S91" i="6"/>
  <c r="R91" i="6"/>
  <c r="AA91" i="6" s="1"/>
  <c r="Y91" i="6"/>
  <c r="R55" i="6"/>
  <c r="Y55" i="6"/>
  <c r="G53" i="6"/>
  <c r="AA52" i="6"/>
  <c r="S52" i="6"/>
  <c r="R55" i="5"/>
  <c r="Y55" i="5"/>
  <c r="Y106" i="5"/>
  <c r="O106" i="5"/>
  <c r="D26" i="5"/>
  <c r="Y102" i="5"/>
  <c r="L26" i="5"/>
  <c r="AA54" i="5"/>
  <c r="S54" i="5"/>
  <c r="Q56" i="5"/>
  <c r="J57" i="5"/>
  <c r="U56" i="4"/>
  <c r="O57" i="4"/>
  <c r="AA54" i="4"/>
  <c r="Y92" i="4"/>
  <c r="V92" i="4"/>
  <c r="AA92" i="4" s="1"/>
  <c r="S55" i="4"/>
  <c r="V55" i="4"/>
  <c r="W55" i="4" s="1"/>
  <c r="Y55" i="4"/>
  <c r="R92" i="4"/>
  <c r="S92" i="4"/>
  <c r="O94" i="4"/>
  <c r="U93" i="4"/>
  <c r="J94" i="4"/>
  <c r="Q93" i="4"/>
  <c r="Q56" i="4"/>
  <c r="R56" i="4" s="1"/>
  <c r="J57" i="4"/>
  <c r="L91" i="4"/>
  <c r="W90" i="4"/>
  <c r="G92" i="3"/>
  <c r="W91" i="3"/>
  <c r="Y91" i="2"/>
  <c r="W91" i="2"/>
  <c r="V91" i="2"/>
  <c r="AA91" i="2" s="1"/>
  <c r="S91" i="3"/>
  <c r="O56" i="3"/>
  <c r="U55" i="3"/>
  <c r="V55" i="3" s="1"/>
  <c r="W55" i="3" s="1"/>
  <c r="O93" i="2"/>
  <c r="U92" i="2"/>
  <c r="Q93" i="3"/>
  <c r="J94" i="3"/>
  <c r="O96" i="3"/>
  <c r="U95" i="3"/>
  <c r="AA53" i="3"/>
  <c r="S53" i="3"/>
  <c r="Q55" i="3"/>
  <c r="J56" i="3"/>
  <c r="R92" i="3"/>
  <c r="AA92" i="3" s="1"/>
  <c r="S92" i="3"/>
  <c r="Y92" i="3"/>
  <c r="R54" i="3"/>
  <c r="Y54" i="3"/>
  <c r="V94" i="3"/>
  <c r="J59" i="2"/>
  <c r="Q57" i="2"/>
  <c r="R57" i="2" s="1"/>
  <c r="O59" i="2"/>
  <c r="U57" i="2"/>
  <c r="AA55" i="2"/>
  <c r="J95" i="2"/>
  <c r="Q94" i="2"/>
  <c r="S56" i="2"/>
  <c r="V56" i="2"/>
  <c r="W56" i="2" s="1"/>
  <c r="Y56" i="2"/>
  <c r="S93" i="2"/>
  <c r="R93" i="2"/>
  <c r="J59" i="6" l="1"/>
  <c r="Q57" i="6"/>
  <c r="S92" i="6"/>
  <c r="R92" i="6"/>
  <c r="Y92" i="6"/>
  <c r="V62" i="6"/>
  <c r="W62" i="6" s="1"/>
  <c r="R56" i="6"/>
  <c r="Y56" i="6"/>
  <c r="V63" i="6"/>
  <c r="W63" i="6" s="1"/>
  <c r="O104" i="6"/>
  <c r="G54" i="6"/>
  <c r="AA53" i="6"/>
  <c r="S53" i="6"/>
  <c r="V61" i="6"/>
  <c r="W61" i="6" s="1"/>
  <c r="W64" i="6" s="1"/>
  <c r="Q93" i="6"/>
  <c r="J94" i="6"/>
  <c r="L92" i="6"/>
  <c r="W91" i="6"/>
  <c r="R56" i="5"/>
  <c r="Y56" i="5"/>
  <c r="L23" i="5"/>
  <c r="F26" i="5"/>
  <c r="M26" i="5" s="1"/>
  <c r="B26" i="5"/>
  <c r="B25" i="5"/>
  <c r="D23" i="5"/>
  <c r="E23" i="5" s="1"/>
  <c r="B24" i="5"/>
  <c r="J59" i="5"/>
  <c r="Q57" i="5"/>
  <c r="H26" i="5"/>
  <c r="AA55" i="5"/>
  <c r="S55" i="5"/>
  <c r="U57" i="4"/>
  <c r="O59" i="4"/>
  <c r="U94" i="4"/>
  <c r="O95" i="4"/>
  <c r="V56" i="4"/>
  <c r="W56" i="4" s="1"/>
  <c r="Y56" i="4"/>
  <c r="L92" i="4"/>
  <c r="W91" i="4"/>
  <c r="R93" i="4"/>
  <c r="S93" i="4"/>
  <c r="AA56" i="4"/>
  <c r="S56" i="4"/>
  <c r="Y93" i="4"/>
  <c r="V93" i="4"/>
  <c r="AA93" i="4" s="1"/>
  <c r="J59" i="4"/>
  <c r="Q57" i="4"/>
  <c r="R57" i="4" s="1"/>
  <c r="J95" i="4"/>
  <c r="Q94" i="4"/>
  <c r="AA55" i="4"/>
  <c r="U56" i="3"/>
  <c r="V56" i="3" s="1"/>
  <c r="W56" i="3" s="1"/>
  <c r="O57" i="3"/>
  <c r="Y92" i="2"/>
  <c r="V92" i="2"/>
  <c r="AA92" i="2" s="1"/>
  <c r="W92" i="2"/>
  <c r="U93" i="2"/>
  <c r="O94" i="2"/>
  <c r="G93" i="3"/>
  <c r="W92" i="3"/>
  <c r="AA54" i="3"/>
  <c r="S54" i="3"/>
  <c r="Q56" i="3"/>
  <c r="J57" i="3"/>
  <c r="V95" i="3"/>
  <c r="R93" i="3"/>
  <c r="AA93" i="3" s="1"/>
  <c r="S93" i="3"/>
  <c r="Y93" i="3"/>
  <c r="J95" i="3"/>
  <c r="Q94" i="3"/>
  <c r="R55" i="3"/>
  <c r="Y55" i="3"/>
  <c r="U96" i="3"/>
  <c r="O97" i="3"/>
  <c r="S94" i="2"/>
  <c r="R94" i="2"/>
  <c r="O61" i="2"/>
  <c r="U60" i="2"/>
  <c r="U59" i="2"/>
  <c r="Q95" i="2"/>
  <c r="J96" i="2"/>
  <c r="S57" i="2"/>
  <c r="S58" i="2" s="1"/>
  <c r="AA56" i="2"/>
  <c r="Q59" i="2"/>
  <c r="R59" i="2" s="1"/>
  <c r="J61" i="2"/>
  <c r="Q60" i="2"/>
  <c r="R60" i="2" s="1"/>
  <c r="Y57" i="2"/>
  <c r="V57" i="2"/>
  <c r="W57" i="2" s="1"/>
  <c r="W58" i="2" s="1"/>
  <c r="S93" i="6" l="1"/>
  <c r="R93" i="6"/>
  <c r="AA93" i="6" s="1"/>
  <c r="Y93" i="6"/>
  <c r="G55" i="6"/>
  <c r="AA54" i="6"/>
  <c r="S54" i="6"/>
  <c r="Q59" i="6"/>
  <c r="J61" i="6"/>
  <c r="Q60" i="6"/>
  <c r="R57" i="6"/>
  <c r="Y57" i="6"/>
  <c r="L93" i="6"/>
  <c r="W92" i="6"/>
  <c r="O106" i="6"/>
  <c r="AA92" i="6"/>
  <c r="Q94" i="6"/>
  <c r="J95" i="6"/>
  <c r="R57" i="5"/>
  <c r="Y57" i="5"/>
  <c r="F25" i="5"/>
  <c r="F24" i="5"/>
  <c r="E26" i="5" s="1"/>
  <c r="H25" i="5"/>
  <c r="H24" i="5"/>
  <c r="J61" i="5"/>
  <c r="Q60" i="5"/>
  <c r="Q59" i="5"/>
  <c r="AA56" i="5"/>
  <c r="S56" i="5"/>
  <c r="O96" i="4"/>
  <c r="U95" i="4"/>
  <c r="Q59" i="4"/>
  <c r="R59" i="4" s="1"/>
  <c r="J61" i="4"/>
  <c r="Q60" i="4"/>
  <c r="R60" i="4" s="1"/>
  <c r="L93" i="4"/>
  <c r="W92" i="4"/>
  <c r="Y94" i="4"/>
  <c r="V94" i="4"/>
  <c r="S57" i="4"/>
  <c r="S58" i="4" s="1"/>
  <c r="D19" i="4"/>
  <c r="R94" i="4"/>
  <c r="S94" i="4"/>
  <c r="O61" i="4"/>
  <c r="U59" i="4"/>
  <c r="U60" i="4"/>
  <c r="J96" i="4"/>
  <c r="Q95" i="4"/>
  <c r="V57" i="4"/>
  <c r="W57" i="4" s="1"/>
  <c r="W58" i="4" s="1"/>
  <c r="Y57" i="4"/>
  <c r="G94" i="3"/>
  <c r="W93" i="3"/>
  <c r="O95" i="2"/>
  <c r="U94" i="2"/>
  <c r="V93" i="2"/>
  <c r="AA93" i="2" s="1"/>
  <c r="Y93" i="2"/>
  <c r="W93" i="2"/>
  <c r="U57" i="3"/>
  <c r="V57" i="3" s="1"/>
  <c r="W57" i="3" s="1"/>
  <c r="W58" i="3" s="1"/>
  <c r="O59" i="3"/>
  <c r="O98" i="3"/>
  <c r="U97" i="3"/>
  <c r="Q95" i="3"/>
  <c r="J96" i="3"/>
  <c r="R56" i="3"/>
  <c r="Y56" i="3"/>
  <c r="V96" i="3"/>
  <c r="S55" i="3"/>
  <c r="AA55" i="3"/>
  <c r="R94" i="3"/>
  <c r="S94" i="3"/>
  <c r="Y94" i="3"/>
  <c r="Q57" i="3"/>
  <c r="J59" i="3"/>
  <c r="S59" i="2"/>
  <c r="D19" i="2"/>
  <c r="Y59" i="2"/>
  <c r="V59" i="2"/>
  <c r="W59" i="2" s="1"/>
  <c r="L19" i="2"/>
  <c r="Y60" i="2"/>
  <c r="V60" i="2"/>
  <c r="W60" i="2" s="1"/>
  <c r="S60" i="2"/>
  <c r="AA57" i="2"/>
  <c r="AA58" i="2" s="1"/>
  <c r="Q96" i="2"/>
  <c r="J97" i="2"/>
  <c r="O63" i="2"/>
  <c r="U63" i="2" s="1"/>
  <c r="U61" i="2"/>
  <c r="U62" i="2"/>
  <c r="J63" i="2"/>
  <c r="Q63" i="2" s="1"/>
  <c r="Q61" i="2"/>
  <c r="R61" i="2" s="1"/>
  <c r="Q62" i="2"/>
  <c r="R62" i="2" s="1"/>
  <c r="R95" i="2"/>
  <c r="S95" i="2"/>
  <c r="Q95" i="6" l="1"/>
  <c r="J96" i="6"/>
  <c r="R60" i="6"/>
  <c r="Y60" i="6"/>
  <c r="S94" i="6"/>
  <c r="R94" i="6"/>
  <c r="Y94" i="6"/>
  <c r="L94" i="6"/>
  <c r="W93" i="6"/>
  <c r="J63" i="6"/>
  <c r="Q63" i="6" s="1"/>
  <c r="Q61" i="6"/>
  <c r="Q62" i="6"/>
  <c r="D19" i="6"/>
  <c r="L19" i="6"/>
  <c r="R59" i="6"/>
  <c r="Y59" i="6"/>
  <c r="G56" i="6"/>
  <c r="S55" i="6"/>
  <c r="AA55" i="6"/>
  <c r="J63" i="5"/>
  <c r="Q63" i="5" s="1"/>
  <c r="Q61" i="5"/>
  <c r="Q62" i="5"/>
  <c r="E25" i="5"/>
  <c r="M25" i="5"/>
  <c r="H23" i="5"/>
  <c r="L19" i="5"/>
  <c r="R59" i="5"/>
  <c r="Y59" i="5"/>
  <c r="AA57" i="5"/>
  <c r="AA58" i="5" s="1"/>
  <c r="S57" i="5"/>
  <c r="S58" i="5" s="1"/>
  <c r="D19" i="5"/>
  <c r="R60" i="5"/>
  <c r="Y60" i="5"/>
  <c r="E24" i="5"/>
  <c r="M24" i="5"/>
  <c r="L19" i="4"/>
  <c r="Q61" i="4"/>
  <c r="R61" i="4" s="1"/>
  <c r="J63" i="4"/>
  <c r="Q63" i="4" s="1"/>
  <c r="Q62" i="4"/>
  <c r="R62" i="4" s="1"/>
  <c r="V60" i="4"/>
  <c r="W60" i="4" s="1"/>
  <c r="Y60" i="4"/>
  <c r="AA57" i="4"/>
  <c r="AA58" i="4" s="1"/>
  <c r="S59" i="4"/>
  <c r="R95" i="4"/>
  <c r="S95" i="4"/>
  <c r="Y59" i="4"/>
  <c r="V59" i="4"/>
  <c r="W59" i="4" s="1"/>
  <c r="AA94" i="4"/>
  <c r="L94" i="4"/>
  <c r="W93" i="4"/>
  <c r="V95" i="4"/>
  <c r="AA95" i="4" s="1"/>
  <c r="Y95" i="4"/>
  <c r="J97" i="4"/>
  <c r="Q96" i="4"/>
  <c r="O63" i="4"/>
  <c r="U63" i="4" s="1"/>
  <c r="U62" i="4"/>
  <c r="U61" i="4"/>
  <c r="O19" i="4"/>
  <c r="AA60" i="4"/>
  <c r="S60" i="4"/>
  <c r="U96" i="4"/>
  <c r="O97" i="4"/>
  <c r="V94" i="2"/>
  <c r="AA94" i="2" s="1"/>
  <c r="Y94" i="2"/>
  <c r="W94" i="2"/>
  <c r="U95" i="2"/>
  <c r="O96" i="2"/>
  <c r="U60" i="3"/>
  <c r="V60" i="3" s="1"/>
  <c r="W60" i="3" s="1"/>
  <c r="U59" i="3"/>
  <c r="V59" i="3" s="1"/>
  <c r="W59" i="3" s="1"/>
  <c r="O61" i="3"/>
  <c r="G95" i="3"/>
  <c r="W94" i="3"/>
  <c r="J61" i="3"/>
  <c r="Q59" i="3"/>
  <c r="Q60" i="3"/>
  <c r="AA94" i="3"/>
  <c r="J97" i="3"/>
  <c r="Q96" i="3"/>
  <c r="R57" i="3"/>
  <c r="Y57" i="3"/>
  <c r="R95" i="3"/>
  <c r="AA95" i="3" s="1"/>
  <c r="S95" i="3"/>
  <c r="Y95" i="3"/>
  <c r="S56" i="3"/>
  <c r="AA56" i="3"/>
  <c r="V97" i="3"/>
  <c r="U98" i="3"/>
  <c r="O99" i="3"/>
  <c r="R63" i="2"/>
  <c r="Q106" i="2"/>
  <c r="Q97" i="2"/>
  <c r="J98" i="2"/>
  <c r="O19" i="2"/>
  <c r="Y62" i="2"/>
  <c r="V62" i="2"/>
  <c r="W62" i="2" s="1"/>
  <c r="S96" i="2"/>
  <c r="R96" i="2"/>
  <c r="S62" i="2"/>
  <c r="AA62" i="2"/>
  <c r="Y61" i="2"/>
  <c r="V61" i="2"/>
  <c r="W61" i="2" s="1"/>
  <c r="AA60" i="2"/>
  <c r="S61" i="2"/>
  <c r="AA61" i="2"/>
  <c r="Y63" i="2"/>
  <c r="V63" i="2"/>
  <c r="W63" i="2" s="1"/>
  <c r="W64" i="2" s="1"/>
  <c r="U106" i="2"/>
  <c r="L21" i="2"/>
  <c r="AA59" i="2"/>
  <c r="R61" i="6" l="1"/>
  <c r="Y61" i="6"/>
  <c r="R63" i="6"/>
  <c r="J104" i="6"/>
  <c r="Y63" i="6"/>
  <c r="Q96" i="6"/>
  <c r="J97" i="6"/>
  <c r="S95" i="6"/>
  <c r="R95" i="6"/>
  <c r="AA95" i="6" s="1"/>
  <c r="Y95" i="6"/>
  <c r="O19" i="6"/>
  <c r="AA94" i="6"/>
  <c r="G57" i="6"/>
  <c r="AA56" i="6"/>
  <c r="S56" i="6"/>
  <c r="R62" i="6"/>
  <c r="Y62" i="6"/>
  <c r="L95" i="6"/>
  <c r="W94" i="6"/>
  <c r="R62" i="5"/>
  <c r="Y62" i="5"/>
  <c r="AA60" i="5"/>
  <c r="S60" i="5"/>
  <c r="R61" i="5"/>
  <c r="Y61" i="5"/>
  <c r="M23" i="5"/>
  <c r="O19" i="5"/>
  <c r="AA59" i="5"/>
  <c r="S59" i="5"/>
  <c r="D21" i="5"/>
  <c r="B20" i="5" s="1"/>
  <c r="R63" i="5"/>
  <c r="J104" i="5"/>
  <c r="Y63" i="5"/>
  <c r="Q19" i="4"/>
  <c r="R63" i="4"/>
  <c r="Q106" i="4"/>
  <c r="Y96" i="4"/>
  <c r="V96" i="4"/>
  <c r="V61" i="4"/>
  <c r="W61" i="4" s="1"/>
  <c r="W64" i="4" s="1"/>
  <c r="Y61" i="4"/>
  <c r="Q97" i="4"/>
  <c r="J98" i="4"/>
  <c r="S61" i="4"/>
  <c r="O98" i="4"/>
  <c r="U97" i="4"/>
  <c r="S96" i="4"/>
  <c r="R96" i="4"/>
  <c r="Y62" i="4"/>
  <c r="V62" i="4"/>
  <c r="W62" i="4" s="1"/>
  <c r="L95" i="4"/>
  <c r="W94" i="4"/>
  <c r="V63" i="4"/>
  <c r="W63" i="4" s="1"/>
  <c r="Y63" i="4"/>
  <c r="U106" i="4"/>
  <c r="AA59" i="4"/>
  <c r="S62" i="4"/>
  <c r="Y95" i="2"/>
  <c r="V95" i="2"/>
  <c r="AA95" i="2" s="1"/>
  <c r="W95" i="2"/>
  <c r="G96" i="3"/>
  <c r="W95" i="3"/>
  <c r="U62" i="3"/>
  <c r="V62" i="3" s="1"/>
  <c r="W62" i="3" s="1"/>
  <c r="O63" i="3"/>
  <c r="U63" i="3" s="1"/>
  <c r="V63" i="3" s="1"/>
  <c r="W63" i="3" s="1"/>
  <c r="U61" i="3"/>
  <c r="V61" i="3" s="1"/>
  <c r="W61" i="3" s="1"/>
  <c r="O97" i="2"/>
  <c r="U96" i="2"/>
  <c r="O100" i="3"/>
  <c r="U99" i="3"/>
  <c r="L19" i="3"/>
  <c r="V98" i="3"/>
  <c r="AA57" i="3"/>
  <c r="AA58" i="3" s="1"/>
  <c r="S57" i="3"/>
  <c r="S58" i="3" s="1"/>
  <c r="D19" i="3"/>
  <c r="R60" i="3"/>
  <c r="Y60" i="3"/>
  <c r="R96" i="3"/>
  <c r="AA96" i="3" s="1"/>
  <c r="Y96" i="3"/>
  <c r="R59" i="3"/>
  <c r="Y59" i="3"/>
  <c r="Q97" i="3"/>
  <c r="J98" i="3"/>
  <c r="Q61" i="3"/>
  <c r="J63" i="3"/>
  <c r="Q63" i="3" s="1"/>
  <c r="Q62" i="3"/>
  <c r="S97" i="2"/>
  <c r="R97" i="2"/>
  <c r="Y106" i="2"/>
  <c r="Q19" i="2"/>
  <c r="S63" i="2"/>
  <c r="S64" i="2" s="1"/>
  <c r="AA63" i="2"/>
  <c r="AA64" i="2" s="1"/>
  <c r="Y64" i="2"/>
  <c r="J99" i="2"/>
  <c r="Q98" i="2"/>
  <c r="D21" i="2"/>
  <c r="G59" i="6" l="1"/>
  <c r="AA57" i="6"/>
  <c r="AA58" i="6" s="1"/>
  <c r="S57" i="6"/>
  <c r="S58" i="6" s="1"/>
  <c r="Q97" i="6"/>
  <c r="J98" i="6"/>
  <c r="Y64" i="6"/>
  <c r="L21" i="6"/>
  <c r="Y105" i="6"/>
  <c r="L96" i="6"/>
  <c r="W95" i="6"/>
  <c r="D21" i="6"/>
  <c r="Q19" i="6"/>
  <c r="S96" i="6"/>
  <c r="R96" i="6"/>
  <c r="Y96" i="6"/>
  <c r="S63" i="5"/>
  <c r="AA63" i="5"/>
  <c r="B19" i="5"/>
  <c r="O22" i="5"/>
  <c r="Q19" i="5"/>
  <c r="Q22" i="5" s="1"/>
  <c r="S61" i="5"/>
  <c r="AA61" i="5"/>
  <c r="Y64" i="5"/>
  <c r="O21" i="5"/>
  <c r="Q21" i="5" s="1"/>
  <c r="B21" i="5"/>
  <c r="F21" i="5"/>
  <c r="L21" i="5"/>
  <c r="J106" i="5"/>
  <c r="Y105" i="5"/>
  <c r="D18" i="5"/>
  <c r="E18" i="5" s="1"/>
  <c r="S62" i="5"/>
  <c r="AA62" i="5"/>
  <c r="S64" i="4"/>
  <c r="Y106" i="4"/>
  <c r="J99" i="4"/>
  <c r="Q98" i="4"/>
  <c r="AA62" i="4"/>
  <c r="Y64" i="4"/>
  <c r="L21" i="4"/>
  <c r="AA61" i="4"/>
  <c r="R97" i="4"/>
  <c r="S97" i="4"/>
  <c r="AA96" i="4"/>
  <c r="V97" i="4"/>
  <c r="AA97" i="4" s="1"/>
  <c r="Y97" i="4"/>
  <c r="L96" i="4"/>
  <c r="W95" i="4"/>
  <c r="AA63" i="4"/>
  <c r="S63" i="4"/>
  <c r="D21" i="4"/>
  <c r="AA64" i="4"/>
  <c r="U98" i="4"/>
  <c r="O99" i="4"/>
  <c r="G97" i="3"/>
  <c r="W96" i="3"/>
  <c r="S96" i="3"/>
  <c r="Y96" i="2"/>
  <c r="V96" i="2"/>
  <c r="AA96" i="2" s="1"/>
  <c r="W96" i="2"/>
  <c r="O98" i="2"/>
  <c r="U97" i="2"/>
  <c r="U106" i="3"/>
  <c r="W64" i="3"/>
  <c r="R63" i="3"/>
  <c r="Q106" i="3"/>
  <c r="Y63" i="3"/>
  <c r="AA60" i="3"/>
  <c r="S60" i="3"/>
  <c r="R61" i="3"/>
  <c r="D21" i="3" s="1"/>
  <c r="Y61" i="3"/>
  <c r="O19" i="3"/>
  <c r="J99" i="3"/>
  <c r="Q98" i="3"/>
  <c r="S59" i="3"/>
  <c r="AA59" i="3"/>
  <c r="V99" i="3"/>
  <c r="R62" i="3"/>
  <c r="Y62" i="3"/>
  <c r="R97" i="3"/>
  <c r="AA97" i="3" s="1"/>
  <c r="S97" i="3"/>
  <c r="Y97" i="3"/>
  <c r="O101" i="3"/>
  <c r="U101" i="3" s="1"/>
  <c r="U100" i="3"/>
  <c r="O21" i="2"/>
  <c r="B21" i="2"/>
  <c r="B20" i="2"/>
  <c r="B19" i="2"/>
  <c r="D18" i="2"/>
  <c r="E18" i="2" s="1"/>
  <c r="F21" i="2" s="1"/>
  <c r="L18" i="2"/>
  <c r="S98" i="2"/>
  <c r="R98" i="2"/>
  <c r="Q99" i="2"/>
  <c r="J100" i="2"/>
  <c r="AA64" i="5" l="1"/>
  <c r="S64" i="5"/>
  <c r="Q98" i="6"/>
  <c r="J99" i="6"/>
  <c r="AA96" i="6"/>
  <c r="O21" i="6"/>
  <c r="B21" i="6"/>
  <c r="B20" i="6"/>
  <c r="D18" i="6"/>
  <c r="E18" i="6" s="1"/>
  <c r="F21" i="6" s="1"/>
  <c r="B19" i="6"/>
  <c r="G60" i="6"/>
  <c r="S59" i="6"/>
  <c r="AA59" i="6"/>
  <c r="L97" i="6"/>
  <c r="W96" i="6"/>
  <c r="L18" i="6"/>
  <c r="H21" i="6" s="1"/>
  <c r="S97" i="6"/>
  <c r="R97" i="6"/>
  <c r="AA97" i="6" s="1"/>
  <c r="Y97" i="6"/>
  <c r="M21" i="5"/>
  <c r="Y107" i="5"/>
  <c r="Y112" i="5" s="1"/>
  <c r="Z105" i="5" s="1"/>
  <c r="I18" i="5" s="1"/>
  <c r="U22" i="5" s="1"/>
  <c r="L18" i="5"/>
  <c r="H21" i="5" s="1"/>
  <c r="F20" i="5"/>
  <c r="F19" i="5"/>
  <c r="E21" i="5" s="1"/>
  <c r="Q99" i="4"/>
  <c r="J100" i="4"/>
  <c r="O100" i="4"/>
  <c r="U99" i="4"/>
  <c r="O21" i="4"/>
  <c r="B21" i="4"/>
  <c r="F21" i="4"/>
  <c r="M21" i="4" s="1"/>
  <c r="B20" i="4"/>
  <c r="D18" i="4"/>
  <c r="E18" i="4" s="1"/>
  <c r="B19" i="4"/>
  <c r="L97" i="4"/>
  <c r="W96" i="4"/>
  <c r="L18" i="4"/>
  <c r="Y98" i="4"/>
  <c r="V98" i="4"/>
  <c r="S98" i="4"/>
  <c r="R98" i="4"/>
  <c r="Y97" i="2"/>
  <c r="W97" i="2"/>
  <c r="V97" i="2"/>
  <c r="AA97" i="2" s="1"/>
  <c r="O99" i="2"/>
  <c r="U98" i="2"/>
  <c r="G98" i="3"/>
  <c r="W97" i="3"/>
  <c r="V100" i="3"/>
  <c r="O21" i="3"/>
  <c r="Q21" i="3" s="1"/>
  <c r="B21" i="3"/>
  <c r="Q99" i="3"/>
  <c r="J100" i="3"/>
  <c r="V101" i="3"/>
  <c r="U107" i="3"/>
  <c r="B20" i="3"/>
  <c r="Q19" i="3"/>
  <c r="Q22" i="3" s="1"/>
  <c r="O22" i="3"/>
  <c r="Y64" i="3"/>
  <c r="D18" i="3"/>
  <c r="E18" i="3" s="1"/>
  <c r="L21" i="3"/>
  <c r="AA61" i="3"/>
  <c r="S61" i="3"/>
  <c r="Y106" i="3"/>
  <c r="S62" i="3"/>
  <c r="AA62" i="3"/>
  <c r="S98" i="3"/>
  <c r="R98" i="3"/>
  <c r="AA98" i="3" s="1"/>
  <c r="Y98" i="3"/>
  <c r="B19" i="3"/>
  <c r="S63" i="3"/>
  <c r="AA63" i="3"/>
  <c r="M21" i="2"/>
  <c r="Q100" i="2"/>
  <c r="J101" i="2"/>
  <c r="Q101" i="2" s="1"/>
  <c r="F20" i="2"/>
  <c r="F19" i="2"/>
  <c r="S99" i="2"/>
  <c r="R99" i="2"/>
  <c r="H20" i="2"/>
  <c r="H19" i="2"/>
  <c r="H21" i="2"/>
  <c r="Q21" i="2"/>
  <c r="Q22" i="2" s="1"/>
  <c r="O22" i="2"/>
  <c r="M21" i="6" l="1"/>
  <c r="L98" i="6"/>
  <c r="W97" i="6"/>
  <c r="G61" i="6"/>
  <c r="S60" i="6"/>
  <c r="AA60" i="6"/>
  <c r="Q99" i="6"/>
  <c r="J100" i="6"/>
  <c r="H20" i="6"/>
  <c r="H19" i="6"/>
  <c r="F20" i="6"/>
  <c r="F19" i="6"/>
  <c r="Q21" i="6"/>
  <c r="Q22" i="6" s="1"/>
  <c r="O22" i="6"/>
  <c r="S98" i="6"/>
  <c r="R98" i="6"/>
  <c r="AA98" i="6" s="1"/>
  <c r="Y98" i="6"/>
  <c r="E20" i="5"/>
  <c r="M20" i="5"/>
  <c r="L27" i="5"/>
  <c r="I20" i="5"/>
  <c r="H20" i="5"/>
  <c r="I25" i="5"/>
  <c r="I24" i="5"/>
  <c r="I26" i="5"/>
  <c r="I19" i="5"/>
  <c r="H19" i="5"/>
  <c r="H18" i="5" s="1"/>
  <c r="E19" i="5"/>
  <c r="M19" i="5"/>
  <c r="Y122" i="5"/>
  <c r="B107" i="5"/>
  <c r="Z110" i="5"/>
  <c r="Z87" i="5"/>
  <c r="Z80" i="5"/>
  <c r="Z64" i="5"/>
  <c r="Z102" i="5"/>
  <c r="Z45" i="5"/>
  <c r="Y113" i="5"/>
  <c r="Z38" i="5"/>
  <c r="Z58" i="5"/>
  <c r="Z33" i="5"/>
  <c r="Z70" i="5"/>
  <c r="Z81" i="5"/>
  <c r="Z71" i="5"/>
  <c r="Z72" i="5"/>
  <c r="Z82" i="5"/>
  <c r="Z34" i="5"/>
  <c r="Z83" i="5"/>
  <c r="Z73" i="5"/>
  <c r="Z84" i="5"/>
  <c r="Z35" i="5"/>
  <c r="Z74" i="5"/>
  <c r="Z36" i="5"/>
  <c r="Z75" i="5"/>
  <c r="Z37" i="5"/>
  <c r="Z86" i="5"/>
  <c r="Z85" i="5"/>
  <c r="Z39" i="5"/>
  <c r="Z76" i="5"/>
  <c r="Z40" i="5"/>
  <c r="Z77" i="5"/>
  <c r="Z88" i="5"/>
  <c r="Z89" i="5"/>
  <c r="Z41" i="5"/>
  <c r="Z78" i="5"/>
  <c r="Z90" i="5"/>
  <c r="Z42" i="5"/>
  <c r="Z79" i="5"/>
  <c r="Z92" i="5"/>
  <c r="Z91" i="5"/>
  <c r="Z43" i="5"/>
  <c r="Z44" i="5"/>
  <c r="Z94" i="5"/>
  <c r="Z46" i="5"/>
  <c r="Z93" i="5"/>
  <c r="Z47" i="5"/>
  <c r="Z48" i="5"/>
  <c r="Z95" i="5"/>
  <c r="Z49" i="5"/>
  <c r="Z50" i="5"/>
  <c r="Z96" i="5"/>
  <c r="Z51" i="5"/>
  <c r="Z97" i="5"/>
  <c r="Z52" i="5"/>
  <c r="Z98" i="5"/>
  <c r="Z100" i="5"/>
  <c r="Z99" i="5"/>
  <c r="Z53" i="5"/>
  <c r="Z54" i="5"/>
  <c r="Z101" i="5"/>
  <c r="Z55" i="5"/>
  <c r="Z106" i="5"/>
  <c r="Z56" i="5"/>
  <c r="Z57" i="5"/>
  <c r="Z59" i="5"/>
  <c r="Z60" i="5"/>
  <c r="Z61" i="5"/>
  <c r="Z62" i="5"/>
  <c r="Z63" i="5"/>
  <c r="I21" i="5"/>
  <c r="L98" i="4"/>
  <c r="W97" i="4"/>
  <c r="AA98" i="4"/>
  <c r="J101" i="4"/>
  <c r="Q101" i="4" s="1"/>
  <c r="Q100" i="4"/>
  <c r="H20" i="4"/>
  <c r="H19" i="4"/>
  <c r="H18" i="4" s="1"/>
  <c r="U100" i="4"/>
  <c r="O101" i="4"/>
  <c r="U101" i="4" s="1"/>
  <c r="F20" i="4"/>
  <c r="F19" i="4"/>
  <c r="E21" i="4" s="1"/>
  <c r="Q21" i="4"/>
  <c r="Q22" i="4" s="1"/>
  <c r="O22" i="4"/>
  <c r="R99" i="4"/>
  <c r="S99" i="4"/>
  <c r="H21" i="4"/>
  <c r="V99" i="4"/>
  <c r="Y99" i="4"/>
  <c r="S64" i="3"/>
  <c r="U99" i="2"/>
  <c r="O100" i="2"/>
  <c r="AA64" i="3"/>
  <c r="G99" i="3"/>
  <c r="W98" i="3"/>
  <c r="W98" i="2"/>
  <c r="V98" i="2"/>
  <c r="AA98" i="2" s="1"/>
  <c r="Y98" i="2"/>
  <c r="F20" i="3"/>
  <c r="F19" i="3"/>
  <c r="S99" i="3"/>
  <c r="R99" i="3"/>
  <c r="AA99" i="3" s="1"/>
  <c r="Y99" i="3"/>
  <c r="F21" i="3"/>
  <c r="L18" i="3"/>
  <c r="H21" i="3"/>
  <c r="U108" i="3"/>
  <c r="Q100" i="3"/>
  <c r="J101" i="3"/>
  <c r="Q101" i="3" s="1"/>
  <c r="S101" i="2"/>
  <c r="R101" i="2"/>
  <c r="Q107" i="2"/>
  <c r="Q108" i="2" s="1"/>
  <c r="H18" i="2"/>
  <c r="S100" i="2"/>
  <c r="R100" i="2"/>
  <c r="E19" i="2"/>
  <c r="M19" i="2"/>
  <c r="E20" i="2"/>
  <c r="M20" i="2"/>
  <c r="E21" i="2"/>
  <c r="E21" i="3" l="1"/>
  <c r="L99" i="6"/>
  <c r="W98" i="6"/>
  <c r="Q100" i="6"/>
  <c r="J101" i="6"/>
  <c r="Q101" i="6" s="1"/>
  <c r="E19" i="6"/>
  <c r="M19" i="6"/>
  <c r="S99" i="6"/>
  <c r="R99" i="6"/>
  <c r="AA99" i="6" s="1"/>
  <c r="Y99" i="6"/>
  <c r="G62" i="6"/>
  <c r="AA61" i="6"/>
  <c r="S61" i="6"/>
  <c r="E20" i="6"/>
  <c r="M20" i="6"/>
  <c r="H18" i="6"/>
  <c r="E21" i="6"/>
  <c r="B109" i="5"/>
  <c r="I23" i="5"/>
  <c r="V22" i="5" s="1"/>
  <c r="AA7" i="5"/>
  <c r="AA8" i="5"/>
  <c r="AA14" i="5" s="1"/>
  <c r="B110" i="5" s="1"/>
  <c r="M18" i="5"/>
  <c r="V101" i="4"/>
  <c r="Y101" i="4"/>
  <c r="U107" i="4"/>
  <c r="AA99" i="4"/>
  <c r="Y100" i="4"/>
  <c r="V100" i="4"/>
  <c r="AA100" i="4" s="1"/>
  <c r="S100" i="4"/>
  <c r="R100" i="4"/>
  <c r="L99" i="4"/>
  <c r="W98" i="4"/>
  <c r="E20" i="4"/>
  <c r="M20" i="4"/>
  <c r="E19" i="4"/>
  <c r="M19" i="4"/>
  <c r="R101" i="4"/>
  <c r="S101" i="4"/>
  <c r="Q107" i="4"/>
  <c r="Q108" i="4" s="1"/>
  <c r="O101" i="2"/>
  <c r="U101" i="2" s="1"/>
  <c r="U100" i="2"/>
  <c r="W99" i="2"/>
  <c r="V99" i="2"/>
  <c r="AA99" i="2" s="1"/>
  <c r="Y99" i="2"/>
  <c r="G100" i="3"/>
  <c r="S100" i="3" s="1"/>
  <c r="W99" i="3"/>
  <c r="R101" i="3"/>
  <c r="Q107" i="3"/>
  <c r="Y101" i="3"/>
  <c r="M21" i="3"/>
  <c r="R100" i="3"/>
  <c r="AA100" i="3" s="1"/>
  <c r="Y100" i="3"/>
  <c r="H20" i="3"/>
  <c r="H19" i="3"/>
  <c r="E19" i="3"/>
  <c r="M19" i="3"/>
  <c r="E20" i="3"/>
  <c r="M20" i="3"/>
  <c r="M18" i="2"/>
  <c r="M18" i="6" l="1"/>
  <c r="S101" i="6"/>
  <c r="R101" i="6"/>
  <c r="J105" i="6"/>
  <c r="Y101" i="6"/>
  <c r="L100" i="6"/>
  <c r="W99" i="6"/>
  <c r="G63" i="6"/>
  <c r="S62" i="6"/>
  <c r="AA62" i="6"/>
  <c r="S100" i="6"/>
  <c r="R100" i="6"/>
  <c r="AA100" i="6" s="1"/>
  <c r="Y100" i="6"/>
  <c r="M27" i="5"/>
  <c r="J18" i="5"/>
  <c r="W3" i="5"/>
  <c r="X14" i="5"/>
  <c r="L100" i="4"/>
  <c r="W99" i="4"/>
  <c r="AA101" i="4"/>
  <c r="Y102" i="4"/>
  <c r="L26" i="4"/>
  <c r="D26" i="4"/>
  <c r="M18" i="4"/>
  <c r="Y107" i="4"/>
  <c r="U108" i="4"/>
  <c r="U107" i="2"/>
  <c r="Y100" i="2"/>
  <c r="W100" i="2"/>
  <c r="W102" i="2" s="1"/>
  <c r="V100" i="2"/>
  <c r="G101" i="3"/>
  <c r="W100" i="3"/>
  <c r="V101" i="2"/>
  <c r="AA101" i="2" s="1"/>
  <c r="Y101" i="2"/>
  <c r="W101" i="2"/>
  <c r="Y102" i="3"/>
  <c r="L26" i="3"/>
  <c r="Q108" i="3"/>
  <c r="Y107" i="3"/>
  <c r="H18" i="3"/>
  <c r="D26" i="3"/>
  <c r="AA101" i="3"/>
  <c r="M18" i="3"/>
  <c r="Y102" i="6" l="1"/>
  <c r="L26" i="6"/>
  <c r="AA63" i="6"/>
  <c r="AA64" i="6" s="1"/>
  <c r="S63" i="6"/>
  <c r="S64" i="6" s="1"/>
  <c r="Y106" i="6"/>
  <c r="J106" i="6"/>
  <c r="L101" i="6"/>
  <c r="W101" i="6" s="1"/>
  <c r="W100" i="6"/>
  <c r="AA101" i="6"/>
  <c r="D26" i="6"/>
  <c r="J26" i="5"/>
  <c r="J24" i="5"/>
  <c r="J25" i="5"/>
  <c r="J23" i="5"/>
  <c r="J21" i="5"/>
  <c r="J20" i="5"/>
  <c r="J19" i="5"/>
  <c r="B26" i="4"/>
  <c r="F26" i="4"/>
  <c r="B25" i="4"/>
  <c r="D23" i="4"/>
  <c r="E23" i="4" s="1"/>
  <c r="B24" i="4"/>
  <c r="Z107" i="4"/>
  <c r="L23" i="4"/>
  <c r="Y108" i="4"/>
  <c r="Y113" i="4" s="1"/>
  <c r="I26" i="4"/>
  <c r="H26" i="4"/>
  <c r="L101" i="4"/>
  <c r="W101" i="4" s="1"/>
  <c r="W100" i="4"/>
  <c r="W102" i="4" s="1"/>
  <c r="AA100" i="2"/>
  <c r="D26" i="2"/>
  <c r="L26" i="2"/>
  <c r="Y102" i="2"/>
  <c r="W101" i="3"/>
  <c r="S101" i="3"/>
  <c r="U108" i="2"/>
  <c r="Y107" i="2"/>
  <c r="L23" i="3"/>
  <c r="Y108" i="3"/>
  <c r="Y113" i="3" s="1"/>
  <c r="Z107" i="3" s="1"/>
  <c r="B26" i="3"/>
  <c r="B25" i="3"/>
  <c r="D23" i="3"/>
  <c r="E23" i="3" s="1"/>
  <c r="F26" i="3" s="1"/>
  <c r="B24" i="3"/>
  <c r="H26" i="3"/>
  <c r="W102" i="6" l="1"/>
  <c r="L23" i="6"/>
  <c r="Y107" i="6"/>
  <c r="Y112" i="6" s="1"/>
  <c r="B26" i="6"/>
  <c r="B25" i="6"/>
  <c r="B24" i="6"/>
  <c r="D23" i="6"/>
  <c r="E23" i="6" s="1"/>
  <c r="F26" i="6" s="1"/>
  <c r="I26" i="6"/>
  <c r="H26" i="6"/>
  <c r="B110" i="4"/>
  <c r="I23" i="4"/>
  <c r="V22" i="4" s="1"/>
  <c r="Z102" i="4"/>
  <c r="Z87" i="4"/>
  <c r="Y122" i="4"/>
  <c r="B108" i="4"/>
  <c r="Z64" i="4"/>
  <c r="Z80" i="4"/>
  <c r="Z58" i="4"/>
  <c r="Z45" i="4"/>
  <c r="Z38" i="4"/>
  <c r="AA8" i="4"/>
  <c r="AA14" i="4" s="1"/>
  <c r="B111" i="4" s="1"/>
  <c r="AA7" i="4"/>
  <c r="Z111" i="4"/>
  <c r="Z70" i="4"/>
  <c r="Z71" i="4"/>
  <c r="Z34" i="4"/>
  <c r="Z33" i="4"/>
  <c r="Z35" i="4"/>
  <c r="Z72" i="4"/>
  <c r="Z73" i="4"/>
  <c r="Z36" i="4"/>
  <c r="Z74" i="4"/>
  <c r="Z37" i="4"/>
  <c r="Z39" i="4"/>
  <c r="Z75" i="4"/>
  <c r="Z76" i="4"/>
  <c r="Z40" i="4"/>
  <c r="Z41" i="4"/>
  <c r="Z77" i="4"/>
  <c r="Z78" i="4"/>
  <c r="Z42" i="4"/>
  <c r="Z43" i="4"/>
  <c r="Z79" i="4"/>
  <c r="Z44" i="4"/>
  <c r="Z81" i="4"/>
  <c r="Z82" i="4"/>
  <c r="Z46" i="4"/>
  <c r="Z47" i="4"/>
  <c r="Z83" i="4"/>
  <c r="Z48" i="4"/>
  <c r="Z84" i="4"/>
  <c r="Z85" i="4"/>
  <c r="Z49" i="4"/>
  <c r="Z50" i="4"/>
  <c r="Z86" i="4"/>
  <c r="Z88" i="4"/>
  <c r="Z51" i="4"/>
  <c r="Z89" i="4"/>
  <c r="Z52" i="4"/>
  <c r="Z53" i="4"/>
  <c r="Z90" i="4"/>
  <c r="Z91" i="4"/>
  <c r="Z54" i="4"/>
  <c r="Z55" i="4"/>
  <c r="Z92" i="4"/>
  <c r="Z56" i="4"/>
  <c r="Z93" i="4"/>
  <c r="Z57" i="4"/>
  <c r="Z94" i="4"/>
  <c r="Z59" i="4"/>
  <c r="Z60" i="4"/>
  <c r="Z95" i="4"/>
  <c r="Z61" i="4"/>
  <c r="Z62" i="4"/>
  <c r="Z96" i="4"/>
  <c r="Z63" i="4"/>
  <c r="Z97" i="4"/>
  <c r="Z106" i="4"/>
  <c r="I18" i="4" s="1"/>
  <c r="U22" i="4" s="1"/>
  <c r="Z98" i="4"/>
  <c r="Z99" i="4"/>
  <c r="Z100" i="4"/>
  <c r="Z101" i="4"/>
  <c r="F23" i="4"/>
  <c r="F24" i="4"/>
  <c r="F25" i="4"/>
  <c r="M26" i="4"/>
  <c r="H24" i="4"/>
  <c r="H25" i="4"/>
  <c r="I21" i="4"/>
  <c r="I19" i="4"/>
  <c r="I24" i="4"/>
  <c r="I20" i="4"/>
  <c r="L27" i="4"/>
  <c r="I25" i="4"/>
  <c r="L23" i="2"/>
  <c r="Y108" i="2"/>
  <c r="Y113" i="2" s="1"/>
  <c r="W102" i="3"/>
  <c r="B24" i="2"/>
  <c r="B26" i="2"/>
  <c r="D23" i="2"/>
  <c r="E23" i="2" s="1"/>
  <c r="B25" i="2"/>
  <c r="M26" i="3"/>
  <c r="B110" i="3"/>
  <c r="I23" i="3"/>
  <c r="V22" i="3" s="1"/>
  <c r="H24" i="3"/>
  <c r="H25" i="3"/>
  <c r="L27" i="3"/>
  <c r="I25" i="3"/>
  <c r="I20" i="3"/>
  <c r="I21" i="3"/>
  <c r="I19" i="3"/>
  <c r="I24" i="3"/>
  <c r="I26" i="3"/>
  <c r="F23" i="3"/>
  <c r="F24" i="3"/>
  <c r="F25" i="3"/>
  <c r="AA7" i="3"/>
  <c r="X14" i="3" s="1"/>
  <c r="AA8" i="3"/>
  <c r="AA14" i="3" s="1"/>
  <c r="B111" i="3" s="1"/>
  <c r="Y122" i="3"/>
  <c r="B108" i="3"/>
  <c r="Z111" i="3"/>
  <c r="Z71" i="3"/>
  <c r="Z70" i="3"/>
  <c r="Z33" i="3"/>
  <c r="Z34" i="3"/>
  <c r="Z72" i="3"/>
  <c r="Z73" i="3"/>
  <c r="Z35" i="3"/>
  <c r="Z36" i="3"/>
  <c r="Z38" i="3"/>
  <c r="Z74" i="3"/>
  <c r="Z37" i="3"/>
  <c r="Z75" i="3"/>
  <c r="Z39" i="3"/>
  <c r="Z76" i="3"/>
  <c r="Z40" i="3"/>
  <c r="Z77" i="3"/>
  <c r="Z78" i="3"/>
  <c r="Z41" i="3"/>
  <c r="Z42" i="3"/>
  <c r="Z80" i="3"/>
  <c r="Z79" i="3"/>
  <c r="Z81" i="3"/>
  <c r="Z43" i="3"/>
  <c r="Z44" i="3"/>
  <c r="Z82" i="3"/>
  <c r="Z45" i="3"/>
  <c r="Z46" i="3"/>
  <c r="Z83" i="3"/>
  <c r="Z47" i="3"/>
  <c r="Z84" i="3"/>
  <c r="Z85" i="3"/>
  <c r="Z48" i="3"/>
  <c r="Z87" i="3"/>
  <c r="Z86" i="3"/>
  <c r="Z49" i="3"/>
  <c r="Z88" i="3"/>
  <c r="Z50" i="3"/>
  <c r="Z51" i="3"/>
  <c r="Z89" i="3"/>
  <c r="Z90" i="3"/>
  <c r="Z52" i="3"/>
  <c r="Z53" i="3"/>
  <c r="Z91" i="3"/>
  <c r="Z92" i="3"/>
  <c r="Z54" i="3"/>
  <c r="Z93" i="3"/>
  <c r="Z55" i="3"/>
  <c r="Z56" i="3"/>
  <c r="Z94" i="3"/>
  <c r="Z58" i="3"/>
  <c r="Z95" i="3"/>
  <c r="Z57" i="3"/>
  <c r="Z59" i="3"/>
  <c r="Z96" i="3"/>
  <c r="Z60" i="3"/>
  <c r="Z64" i="3"/>
  <c r="Z62" i="3"/>
  <c r="Z97" i="3"/>
  <c r="Z61" i="3"/>
  <c r="Z63" i="3"/>
  <c r="Z98" i="3"/>
  <c r="Z106" i="3"/>
  <c r="I18" i="3" s="1"/>
  <c r="U22" i="3" s="1"/>
  <c r="Z99" i="3"/>
  <c r="Z100" i="3"/>
  <c r="Z101" i="3"/>
  <c r="Z102" i="3"/>
  <c r="M26" i="6" l="1"/>
  <c r="Y122" i="6"/>
  <c r="Y113" i="6"/>
  <c r="Z102" i="6"/>
  <c r="Z87" i="6"/>
  <c r="B107" i="6"/>
  <c r="Z38" i="6"/>
  <c r="Z64" i="6"/>
  <c r="Z80" i="6"/>
  <c r="Z45" i="6"/>
  <c r="Z58" i="6"/>
  <c r="Z110" i="6"/>
  <c r="Z33" i="6"/>
  <c r="Z70" i="6"/>
  <c r="Z34" i="6"/>
  <c r="Z35" i="6"/>
  <c r="Z71" i="6"/>
  <c r="Z72" i="6"/>
  <c r="Z36" i="6"/>
  <c r="Z37" i="6"/>
  <c r="Z73" i="6"/>
  <c r="Z74" i="6"/>
  <c r="Z39" i="6"/>
  <c r="Z75" i="6"/>
  <c r="Z40" i="6"/>
  <c r="Z41" i="6"/>
  <c r="Z76" i="6"/>
  <c r="Z77" i="6"/>
  <c r="Z42" i="6"/>
  <c r="Z78" i="6"/>
  <c r="Z43" i="6"/>
  <c r="Z79" i="6"/>
  <c r="Z44" i="6"/>
  <c r="Z46" i="6"/>
  <c r="Z81" i="6"/>
  <c r="Z82" i="6"/>
  <c r="Z47" i="6"/>
  <c r="Z83" i="6"/>
  <c r="Z48" i="6"/>
  <c r="Z49" i="6"/>
  <c r="Z84" i="6"/>
  <c r="Z50" i="6"/>
  <c r="Z85" i="6"/>
  <c r="Z86" i="6"/>
  <c r="Z51" i="6"/>
  <c r="Z52" i="6"/>
  <c r="Z88" i="6"/>
  <c r="Z89" i="6"/>
  <c r="Z53" i="6"/>
  <c r="Z90" i="6"/>
  <c r="Z54" i="6"/>
  <c r="Z55" i="6"/>
  <c r="Z91" i="6"/>
  <c r="Z56" i="6"/>
  <c r="Z92" i="6"/>
  <c r="Z93" i="6"/>
  <c r="Z57" i="6"/>
  <c r="Z59" i="6"/>
  <c r="Z94" i="6"/>
  <c r="Z60" i="6"/>
  <c r="Z62" i="6"/>
  <c r="Z95" i="6"/>
  <c r="Z63" i="6"/>
  <c r="Z61" i="6"/>
  <c r="Z96" i="6"/>
  <c r="Z105" i="6"/>
  <c r="I18" i="6" s="1"/>
  <c r="U22" i="6" s="1"/>
  <c r="Z97" i="6"/>
  <c r="Z98" i="6"/>
  <c r="Z99" i="6"/>
  <c r="Z101" i="6"/>
  <c r="Z100" i="6"/>
  <c r="F24" i="6"/>
  <c r="F25" i="6"/>
  <c r="H24" i="6"/>
  <c r="H25" i="6"/>
  <c r="I20" i="6"/>
  <c r="L27" i="6"/>
  <c r="I19" i="6"/>
  <c r="I25" i="6"/>
  <c r="I24" i="6"/>
  <c r="I21" i="6"/>
  <c r="Z106" i="6"/>
  <c r="H23" i="4"/>
  <c r="E24" i="4"/>
  <c r="M24" i="4"/>
  <c r="W3" i="4"/>
  <c r="X14" i="4"/>
  <c r="E25" i="4"/>
  <c r="M25" i="4"/>
  <c r="E26" i="4"/>
  <c r="Z107" i="2"/>
  <c r="B108" i="2"/>
  <c r="Z58" i="2"/>
  <c r="AA7" i="2"/>
  <c r="Z33" i="2"/>
  <c r="Z72" i="2"/>
  <c r="Z37" i="2"/>
  <c r="Z76" i="2"/>
  <c r="Z42" i="2"/>
  <c r="Z44" i="2"/>
  <c r="Z83" i="2"/>
  <c r="Z49" i="2"/>
  <c r="Z51" i="2"/>
  <c r="Z53" i="2"/>
  <c r="Z55" i="2"/>
  <c r="Z57" i="2"/>
  <c r="Z60" i="2"/>
  <c r="Z63" i="2"/>
  <c r="Z99" i="2"/>
  <c r="Z98" i="2"/>
  <c r="Z80" i="2"/>
  <c r="Y122" i="2"/>
  <c r="Z38" i="2"/>
  <c r="Z34" i="2"/>
  <c r="Z35" i="2"/>
  <c r="Z74" i="2"/>
  <c r="Z40" i="2"/>
  <c r="Z78" i="2"/>
  <c r="Z81" i="2"/>
  <c r="Z47" i="2"/>
  <c r="Z85" i="2"/>
  <c r="Z88" i="2"/>
  <c r="Z90" i="2"/>
  <c r="Z92" i="2"/>
  <c r="Z94" i="2"/>
  <c r="Z96" i="2"/>
  <c r="Z97" i="2"/>
  <c r="Z100" i="2"/>
  <c r="Z59" i="2"/>
  <c r="Z87" i="2"/>
  <c r="Z64" i="2"/>
  <c r="AA8" i="2"/>
  <c r="AA14" i="2" s="1"/>
  <c r="B111" i="2" s="1"/>
  <c r="Z70" i="2"/>
  <c r="Z73" i="2"/>
  <c r="Z39" i="2"/>
  <c r="Z77" i="2"/>
  <c r="Z79" i="2"/>
  <c r="Z82" i="2"/>
  <c r="Z84" i="2"/>
  <c r="Z86" i="2"/>
  <c r="Z89" i="2"/>
  <c r="Z91" i="2"/>
  <c r="Z56" i="2"/>
  <c r="Z95" i="2"/>
  <c r="Z61" i="2"/>
  <c r="Z106" i="2"/>
  <c r="I18" i="2" s="1"/>
  <c r="U22" i="2" s="1"/>
  <c r="Z101" i="2"/>
  <c r="Z102" i="2"/>
  <c r="Z45" i="2"/>
  <c r="Z111" i="2"/>
  <c r="Z71" i="2"/>
  <c r="Z36" i="2"/>
  <c r="Z75" i="2"/>
  <c r="Z41" i="2"/>
  <c r="Z43" i="2"/>
  <c r="Z46" i="2"/>
  <c r="Z48" i="2"/>
  <c r="Z50" i="2"/>
  <c r="Z52" i="2"/>
  <c r="Z54" i="2"/>
  <c r="Z93" i="2"/>
  <c r="Z62" i="2"/>
  <c r="L27" i="2"/>
  <c r="I20" i="2"/>
  <c r="I25" i="2"/>
  <c r="I24" i="2"/>
  <c r="H24" i="2"/>
  <c r="I21" i="2"/>
  <c r="H26" i="2"/>
  <c r="I26" i="2"/>
  <c r="H25" i="2"/>
  <c r="I19" i="2"/>
  <c r="F24" i="2"/>
  <c r="F25" i="2"/>
  <c r="F23" i="2"/>
  <c r="F26" i="2"/>
  <c r="E25" i="3"/>
  <c r="M25" i="3"/>
  <c r="E24" i="3"/>
  <c r="M24" i="3"/>
  <c r="H23" i="3"/>
  <c r="E26" i="3"/>
  <c r="AA8" i="6" l="1"/>
  <c r="AA14" i="6" s="1"/>
  <c r="B110" i="6" s="1"/>
  <c r="AA7" i="6"/>
  <c r="B109" i="6"/>
  <c r="I23" i="6"/>
  <c r="V22" i="6" s="1"/>
  <c r="H23" i="6"/>
  <c r="E25" i="6"/>
  <c r="M25" i="6"/>
  <c r="E24" i="6"/>
  <c r="M24" i="6"/>
  <c r="E26" i="6"/>
  <c r="M23" i="4"/>
  <c r="M25" i="2"/>
  <c r="E25" i="2"/>
  <c r="E24" i="2"/>
  <c r="M24" i="2"/>
  <c r="M23" i="2" s="1"/>
  <c r="M27" i="2" s="1"/>
  <c r="M26" i="2"/>
  <c r="E26" i="2"/>
  <c r="H23" i="2"/>
  <c r="B110" i="2"/>
  <c r="I23" i="2"/>
  <c r="V22" i="2" s="1"/>
  <c r="M23" i="3"/>
  <c r="M23" i="6" l="1"/>
  <c r="W3" i="6"/>
  <c r="X14" i="6"/>
  <c r="M27" i="4"/>
  <c r="M27" i="3"/>
  <c r="J21" i="2"/>
  <c r="J20" i="2"/>
  <c r="J19" i="2"/>
  <c r="J18" i="2"/>
  <c r="J24" i="2"/>
  <c r="J26" i="2"/>
  <c r="J25" i="2"/>
  <c r="J23" i="2"/>
  <c r="M27" i="6" l="1"/>
  <c r="J21" i="4"/>
  <c r="J20" i="4"/>
  <c r="J19" i="4"/>
  <c r="J18" i="4"/>
  <c r="J26" i="4"/>
  <c r="J24" i="4"/>
  <c r="J25" i="4"/>
  <c r="J23" i="4"/>
  <c r="J19" i="3"/>
  <c r="J21" i="3"/>
  <c r="J20" i="3"/>
  <c r="J18" i="3"/>
  <c r="J26" i="3"/>
  <c r="J24" i="3"/>
  <c r="J25" i="3"/>
  <c r="J23" i="3"/>
  <c r="J21" i="6" l="1"/>
  <c r="J20" i="6"/>
  <c r="J19" i="6"/>
  <c r="J18" i="6"/>
  <c r="J26" i="6"/>
  <c r="J25" i="6"/>
  <c r="J24" i="6"/>
  <c r="J23" i="6"/>
</calcChain>
</file>

<file path=xl/sharedStrings.xml><?xml version="1.0" encoding="utf-8"?>
<sst xmlns="http://schemas.openxmlformats.org/spreadsheetml/2006/main" count="1807" uniqueCount="286">
  <si>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</si>
  <si>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</si>
  <si>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Period 1</t>
    </r>
    <r>
      <rPr>
        <sz val="10"/>
        <rFont val="Arial Narrow"/>
        <family val="2"/>
      </rPr>
      <t xml:space="preserve"> Collect (Close of Business Day</t>
    </r>
  </si>
  <si>
    <t>End of Business Day</t>
  </si>
  <si>
    <t>Costs</t>
  </si>
  <si>
    <t>Estimated</t>
  </si>
  <si>
    <t>Monthly Variable</t>
  </si>
  <si>
    <t>Estimated Monthly Utility Bill</t>
  </si>
  <si>
    <t>Estimated Monthly income</t>
  </si>
  <si>
    <t>Meter Readings</t>
  </si>
  <si>
    <t>This Reading</t>
  </si>
  <si>
    <t>Last Reading</t>
  </si>
  <si>
    <t>Consumption</t>
  </si>
  <si>
    <t>Days</t>
  </si>
  <si>
    <t>Avg/Day</t>
  </si>
  <si>
    <t>Base</t>
  </si>
  <si>
    <t>Unit</t>
  </si>
  <si>
    <t>used</t>
  </si>
  <si>
    <t>Cost Month</t>
  </si>
  <si>
    <t>Billing Factor</t>
  </si>
  <si>
    <t>Therms</t>
  </si>
  <si>
    <t>Collection</t>
  </si>
  <si>
    <t>Sales</t>
  </si>
  <si>
    <t>as of 11/02/09</t>
  </si>
  <si>
    <t>wk count</t>
  </si>
  <si>
    <t>Gas (235744) (TempCV)</t>
  </si>
  <si>
    <t>Gas</t>
  </si>
  <si>
    <t>Electric #2 (S4)</t>
  </si>
  <si>
    <t>Last Increase January 2010</t>
  </si>
  <si>
    <t>Elec. S4</t>
  </si>
  <si>
    <t>Electric #1 (S56)</t>
  </si>
  <si>
    <t>Last Increase January 210</t>
  </si>
  <si>
    <t>Elec. S56</t>
  </si>
  <si>
    <t>Utilities</t>
  </si>
  <si>
    <t>Water (16356602)</t>
  </si>
  <si>
    <t>kgals</t>
  </si>
  <si>
    <t>Last Increase July 20 09</t>
  </si>
  <si>
    <t>Water &amp; Sewer</t>
  </si>
  <si>
    <t>Rent</t>
  </si>
  <si>
    <t>Sewer</t>
  </si>
  <si>
    <t>Last Increase June 2009</t>
  </si>
  <si>
    <t>W &amp; S &amp; E</t>
  </si>
  <si>
    <t>labor</t>
  </si>
  <si>
    <t>Light Use Deduction Meter</t>
  </si>
  <si>
    <t>Reimbur</t>
  </si>
  <si>
    <t>Loan</t>
  </si>
  <si>
    <t>Utility</t>
  </si>
  <si>
    <t>Weelky</t>
  </si>
  <si>
    <t>Wash/Dry</t>
  </si>
  <si>
    <t>Total</t>
  </si>
  <si>
    <t>Weekly</t>
  </si>
  <si>
    <t>Monthly</t>
  </si>
  <si>
    <t>Weekly Summary</t>
  </si>
  <si>
    <t>Wkly Washes</t>
  </si>
  <si>
    <t>Cost</t>
  </si>
  <si>
    <t>Dollars</t>
  </si>
  <si>
    <t>Profit?</t>
  </si>
  <si>
    <t>Increase</t>
  </si>
  <si>
    <t>Utility Costing Allocation PER MONTH</t>
  </si>
  <si>
    <t>Machine Qty</t>
  </si>
  <si>
    <t>per</t>
  </si>
  <si>
    <t>Percent</t>
  </si>
  <si>
    <t>Profit</t>
  </si>
  <si>
    <t>Wash</t>
  </si>
  <si>
    <t>Dry</t>
  </si>
  <si>
    <t>Building</t>
  </si>
  <si>
    <t>Total Wash Loads</t>
  </si>
  <si>
    <t xml:space="preserve"> % of weekly</t>
  </si>
  <si>
    <t>Water</t>
  </si>
  <si>
    <t>TL</t>
  </si>
  <si>
    <t>15.1/11 gals</t>
  </si>
  <si>
    <t>Water/Sewar</t>
  </si>
  <si>
    <t>All</t>
  </si>
  <si>
    <t>Bigs</t>
  </si>
  <si>
    <t>Elect</t>
  </si>
  <si>
    <t>GUESSES</t>
  </si>
  <si>
    <t>FL</t>
  </si>
  <si>
    <t>Wkly Minutes</t>
  </si>
  <si>
    <t>Time</t>
  </si>
  <si>
    <t>Monthly Sales</t>
  </si>
  <si>
    <t>Total Dryer Minutes</t>
  </si>
  <si>
    <t>Dbls</t>
  </si>
  <si>
    <t>Current Gas Cost</t>
  </si>
  <si>
    <t>Ally</t>
  </si>
  <si>
    <t>Pre Nov 2008</t>
  </si>
  <si>
    <t>Oldies &amp; Old Doubles</t>
  </si>
  <si>
    <t>Pre Nov 2009</t>
  </si>
  <si>
    <t>Pre Nov 2010</t>
  </si>
  <si>
    <t>Beginning of Bus. Day</t>
  </si>
  <si>
    <t xml:space="preserve">End of Bus. Day </t>
  </si>
  <si>
    <t xml:space="preserve"> End of Bus.  Day</t>
  </si>
  <si>
    <t>Load</t>
  </si>
  <si>
    <t xml:space="preserve">Future </t>
  </si>
  <si>
    <t>Future</t>
  </si>
  <si>
    <t>Period Start</t>
  </si>
  <si>
    <t>Per. #1</t>
  </si>
  <si>
    <t>Per. #2</t>
  </si>
  <si>
    <t>per#1</t>
  </si>
  <si>
    <t>per#2</t>
  </si>
  <si>
    <t>Weekly Total</t>
  </si>
  <si>
    <t>Size</t>
  </si>
  <si>
    <t>Lb.</t>
  </si>
  <si>
    <t>Price</t>
  </si>
  <si>
    <t>Cost/lb.</t>
  </si>
  <si>
    <t>Collection Period #1</t>
  </si>
  <si>
    <t>Collection Period #2</t>
  </si>
  <si>
    <t>Vends</t>
  </si>
  <si>
    <t>Avg</t>
  </si>
  <si>
    <t>Machine Specific Cash Collections:</t>
  </si>
  <si>
    <t>Qty</t>
  </si>
  <si>
    <t>WEIGHT</t>
  </si>
  <si>
    <t>Each</t>
  </si>
  <si>
    <t>Washer</t>
  </si>
  <si>
    <t>Income</t>
  </si>
  <si>
    <t>Washr</t>
  </si>
  <si>
    <t>vend</t>
  </si>
  <si>
    <t>days</t>
  </si>
  <si>
    <t>Lb</t>
  </si>
  <si>
    <t>oz</t>
  </si>
  <si>
    <t>Tare</t>
  </si>
  <si>
    <t>Amount</t>
  </si>
  <si>
    <t>WASHER</t>
  </si>
  <si>
    <t>Turns/Day</t>
  </si>
  <si>
    <t>WASHERS</t>
  </si>
  <si>
    <t>Turns</t>
  </si>
  <si>
    <t>Speed Queen Small Door</t>
  </si>
  <si>
    <t>W50.61</t>
  </si>
  <si>
    <t>W50.1</t>
  </si>
  <si>
    <t>W50.62</t>
  </si>
  <si>
    <t>W50.2</t>
  </si>
  <si>
    <t>Speed Queen Large Door</t>
  </si>
  <si>
    <t>W50.63</t>
  </si>
  <si>
    <t>W50.3</t>
  </si>
  <si>
    <t>Speed Queen</t>
  </si>
  <si>
    <t>W40.71</t>
  </si>
  <si>
    <t>W40.1</t>
  </si>
  <si>
    <t>Wascomat</t>
  </si>
  <si>
    <t>W50.64</t>
  </si>
  <si>
    <t>W25.66</t>
  </si>
  <si>
    <t>W25.1</t>
  </si>
  <si>
    <t>W25.65</t>
  </si>
  <si>
    <t>W25.2</t>
  </si>
  <si>
    <t>W25.59</t>
  </si>
  <si>
    <t>W25.3</t>
  </si>
  <si>
    <t>W25.58</t>
  </si>
  <si>
    <t>W25.4</t>
  </si>
  <si>
    <t>W25.57</t>
  </si>
  <si>
    <t>W25.5</t>
  </si>
  <si>
    <t>W25.56</t>
  </si>
  <si>
    <t>W25.6</t>
  </si>
  <si>
    <t>W14.35</t>
  </si>
  <si>
    <t>W14.1</t>
  </si>
  <si>
    <t>W14.33</t>
  </si>
  <si>
    <t>W14.2</t>
  </si>
  <si>
    <t>W14.30</t>
  </si>
  <si>
    <t>W14.3</t>
  </si>
  <si>
    <t>W14.38</t>
  </si>
  <si>
    <t>W14.4</t>
  </si>
  <si>
    <t>W14.42</t>
  </si>
  <si>
    <t>W14.5</t>
  </si>
  <si>
    <t>W14.31</t>
  </si>
  <si>
    <t>W14.6</t>
  </si>
  <si>
    <t>W14.40</t>
  </si>
  <si>
    <t>W14.7</t>
  </si>
  <si>
    <t>W14.34</t>
  </si>
  <si>
    <t>W14.8</t>
  </si>
  <si>
    <t>W14.41</t>
  </si>
  <si>
    <t>W14.9</t>
  </si>
  <si>
    <t>W14.39</t>
  </si>
  <si>
    <t>W14.10</t>
  </si>
  <si>
    <t>W14.46</t>
  </si>
  <si>
    <t>W14.11</t>
  </si>
  <si>
    <t>W14.32</t>
  </si>
  <si>
    <t>W14.12</t>
  </si>
  <si>
    <t>Contenential</t>
  </si>
  <si>
    <t>W18.51</t>
  </si>
  <si>
    <t>W18.1</t>
  </si>
  <si>
    <t>W18.52</t>
  </si>
  <si>
    <t>W18.2</t>
  </si>
  <si>
    <t>W18.53</t>
  </si>
  <si>
    <t>W18.3</t>
  </si>
  <si>
    <t>W18.54</t>
  </si>
  <si>
    <t>W18.4</t>
  </si>
  <si>
    <t>W18.55</t>
  </si>
  <si>
    <t>W18.5</t>
  </si>
  <si>
    <t>Last Collection</t>
  </si>
  <si>
    <t>Hrs/day</t>
  </si>
  <si>
    <t>Single Bucket</t>
  </si>
  <si>
    <t>Dryer use</t>
  </si>
  <si>
    <t>Dryer</t>
  </si>
  <si>
    <t>DRYER</t>
  </si>
  <si>
    <t>Mins/day</t>
  </si>
  <si>
    <t>Total Dryer minutes</t>
  </si>
  <si>
    <t>Chart Data</t>
  </si>
  <si>
    <t>Other Vending</t>
  </si>
  <si>
    <t>Period thru</t>
  </si>
  <si>
    <t>Period Summeries</t>
  </si>
  <si>
    <t>Estimated Monthly Utilities</t>
  </si>
  <si>
    <t>Soap</t>
  </si>
  <si>
    <t>Counts Wash</t>
  </si>
  <si>
    <t>Estimated Monthly Net Profit</t>
  </si>
  <si>
    <t>Counts Dry</t>
  </si>
  <si>
    <t>Weekly Machine Income</t>
  </si>
  <si>
    <t>Weekly Cash Collected</t>
  </si>
  <si>
    <t>Total Vending</t>
  </si>
  <si>
    <t>Measured Coins from Machines</t>
  </si>
  <si>
    <t>Dryer Business%</t>
  </si>
  <si>
    <t>Utilities Percentage</t>
  </si>
  <si>
    <t>soap</t>
  </si>
  <si>
    <t>Measured Coins from Other Vend</t>
  </si>
  <si>
    <t>WAS</t>
  </si>
  <si>
    <t>TOTAL MEASUED INCOME</t>
  </si>
  <si>
    <t>1's</t>
  </si>
  <si>
    <t>Estimated Deposited</t>
  </si>
  <si>
    <t>5's</t>
  </si>
  <si>
    <t>10's</t>
  </si>
  <si>
    <t>20's</t>
  </si>
  <si>
    <t>coins</t>
  </si>
  <si>
    <t>Coins</t>
  </si>
  <si>
    <t>Bills</t>
  </si>
  <si>
    <t>bills</t>
  </si>
  <si>
    <t>Hopper Coin Count</t>
  </si>
  <si>
    <t>a</t>
  </si>
  <si>
    <t>b</t>
  </si>
  <si>
    <t>Counted Changer and leftover Coin Cash</t>
  </si>
  <si>
    <t>FYI</t>
  </si>
  <si>
    <t>Differential</t>
  </si>
  <si>
    <t>lb</t>
  </si>
  <si>
    <t>TOTAL</t>
  </si>
  <si>
    <t>weight</t>
  </si>
  <si>
    <t>lbs UP</t>
  </si>
  <si>
    <t>decimal oz.</t>
  </si>
  <si>
    <t>Saturday</t>
  </si>
  <si>
    <t>Tuesday</t>
  </si>
  <si>
    <t>Missed 3-6 collection…done on 3-9\ on 61-64</t>
  </si>
  <si>
    <t>3-09 collection Actual, forward remains to 3-13</t>
  </si>
  <si>
    <t>3-12 Collection</t>
  </si>
  <si>
    <t>SAME</t>
  </si>
  <si>
    <t>Delta</t>
  </si>
  <si>
    <t>TOTAL MEASURED INCOME</t>
  </si>
  <si>
    <t>Counts estimated due to changer repair</t>
  </si>
  <si>
    <t>Last Increase July 2010</t>
  </si>
  <si>
    <t>This Week</t>
  </si>
  <si>
    <t>Daily Average</t>
  </si>
  <si>
    <t>Period count</t>
  </si>
  <si>
    <t>Last Increase October 2011</t>
  </si>
  <si>
    <t>Last Increase July 2011</t>
  </si>
  <si>
    <t>this dryer value was #73 actual.  Shift all down.</t>
  </si>
  <si>
    <t>Short Bills</t>
  </si>
  <si>
    <t>Actual Count</t>
  </si>
  <si>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Day)(previousTAB)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</si>
  <si>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 (TabNAME)</t>
    </r>
  </si>
  <si>
    <t>Last Increase Jan 1 2016</t>
  </si>
  <si>
    <t>Water (16356602) NEW</t>
  </si>
  <si>
    <t>Last Increase July 1 2015</t>
  </si>
  <si>
    <t>Period</t>
  </si>
  <si>
    <t>Period Washes</t>
  </si>
  <si>
    <t>Weekly Cost</t>
  </si>
  <si>
    <t>Per Cycle</t>
  </si>
  <si>
    <t>Allocations are Guesstimated</t>
  </si>
  <si>
    <t>Period Minutes</t>
  </si>
  <si>
    <t>Period Sales</t>
  </si>
  <si>
    <t>Pre Nov 2016</t>
  </si>
  <si>
    <t>Daily</t>
  </si>
  <si>
    <t>Period Summaries</t>
  </si>
  <si>
    <t># quarters</t>
  </si>
  <si>
    <t>Period Machine Income</t>
  </si>
  <si>
    <t>Complete only when Count Error</t>
  </si>
  <si>
    <t>Period Cash Collected</t>
  </si>
  <si>
    <t>Actual Changer R</t>
  </si>
  <si>
    <t>Actual</t>
  </si>
  <si>
    <t>RECORDED Count</t>
  </si>
  <si>
    <t>Changer L</t>
  </si>
  <si>
    <t>Changer R</t>
  </si>
  <si>
    <t xml:space="preserve"> = </t>
  </si>
  <si>
    <t>(+) = Short</t>
  </si>
  <si>
    <t>(-) = Over</t>
  </si>
  <si>
    <t>Last week was under same????</t>
  </si>
  <si>
    <t>ADJUSTMENT</t>
  </si>
  <si>
    <t>BASE Amount</t>
  </si>
  <si>
    <t>Adjusted Amount</t>
  </si>
  <si>
    <t>This line only</t>
  </si>
  <si>
    <t>cumlative</t>
  </si>
  <si>
    <t>Last Increase November 2013</t>
  </si>
  <si>
    <t>Last Increase July 2012</t>
  </si>
  <si>
    <t>Changer was not getting filled FULLY while on vacation, still catching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</si>
</sst>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* #,##0.0000_);_(* \(#,##0.0000\);_(* &quot;-&quot;??_);_(@_)"/>
    <numFmt numFmtId="170" formatCode="_(&quot;$&quot;* #,##0.00000_);_(&quot;$&quot;* \(#,##0.0000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  <numFmt numFmtId="173" formatCode="_(&quot;$&quot;* #,##0.0_);_(&quot;$&quot;* \(#,##0.0\);_(&quot;$&quot;* &quot;-&quot;??_);_(@_)"/>
    <numFmt numFmtId="174" formatCode="m/d;@"/>
    <numFmt numFmtId="175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b/>
      <sz val="10"/>
      <color indexed="14"/>
      <name val="Arial Narrow"/>
      <family val="2"/>
    </font>
    <font>
      <b/>
      <sz val="10"/>
      <color indexed="10"/>
      <name val="Arial Narrow"/>
      <family val="2"/>
    </font>
    <font>
      <u/>
      <sz val="1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7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23"/>
      <name val="Arial Narrow"/>
      <family val="2"/>
    </font>
    <font>
      <sz val="10"/>
      <color indexed="23"/>
      <name val="Arial Narrow"/>
      <family val="2"/>
    </font>
    <font>
      <b/>
      <sz val="9"/>
      <color indexed="23"/>
      <name val="Arial Narrow"/>
      <family val="2"/>
    </font>
    <font>
      <b/>
      <sz val="10"/>
      <color indexed="22"/>
      <name val="Arial Narrow"/>
      <family val="2"/>
    </font>
    <font>
      <i/>
      <sz val="11"/>
      <color theme="0" tint="-0.34998626667073579"/>
      <name val="Calibri Light"/>
      <family val="1"/>
      <scheme val="major"/>
    </font>
    <font>
      <sz val="10"/>
      <color rgb="FFFF0000"/>
      <name val="Arial Narrow"/>
      <family val="2"/>
    </font>
    <font>
      <b/>
      <sz val="10"/>
      <color indexed="1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9">
    <xf numFmtId="0" fontId="0" fillId="0" borderId="0" xfId="0"/>
    <xf numFmtId="164" fontId="2" fillId="0" borderId="0" xfId="1" applyNumberFormat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/>
    <xf numFmtId="2" fontId="2" fillId="0" borderId="0" xfId="1" applyNumberFormat="1" applyFont="1" applyAlignment="1">
      <alignment horizontal="center"/>
    </xf>
    <xf numFmtId="44" fontId="3" fillId="0" borderId="0" xfId="2" applyFont="1"/>
    <xf numFmtId="0" fontId="3" fillId="0" borderId="0" xfId="1" applyFont="1"/>
    <xf numFmtId="0" fontId="2" fillId="0" borderId="0" xfId="1" applyFont="1" applyBorder="1"/>
    <xf numFmtId="44" fontId="5" fillId="0" borderId="0" xfId="2" applyFont="1" applyBorder="1"/>
    <xf numFmtId="14" fontId="4" fillId="0" borderId="0" xfId="1" applyNumberFormat="1" applyFont="1" applyAlignment="1">
      <alignment horizontal="center"/>
    </xf>
    <xf numFmtId="165" fontId="2" fillId="0" borderId="0" xfId="3" applyNumberFormat="1" applyFont="1"/>
    <xf numFmtId="165" fontId="2" fillId="0" borderId="0" xfId="1" applyNumberFormat="1" applyFont="1"/>
    <xf numFmtId="0" fontId="4" fillId="0" borderId="0" xfId="1" applyFont="1" applyBorder="1"/>
    <xf numFmtId="0" fontId="2" fillId="0" borderId="1" xfId="1" applyFont="1" applyBorder="1"/>
    <xf numFmtId="0" fontId="2" fillId="0" borderId="2" xfId="1" applyFont="1" applyBorder="1"/>
    <xf numFmtId="0" fontId="4" fillId="0" borderId="2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165" fontId="4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2" fillId="0" borderId="5" xfId="1" applyFont="1" applyBorder="1" applyAlignment="1">
      <alignment horizontal="center"/>
    </xf>
    <xf numFmtId="16" fontId="2" fillId="0" borderId="6" xfId="1" applyNumberFormat="1" applyFont="1" applyBorder="1" applyAlignment="1">
      <alignment horizontal="center"/>
    </xf>
    <xf numFmtId="16" fontId="3" fillId="0" borderId="0" xfId="1" applyNumberFormat="1" applyFont="1" applyBorder="1"/>
    <xf numFmtId="44" fontId="6" fillId="0" borderId="0" xfId="1" applyNumberFormat="1" applyFont="1" applyBorder="1" applyAlignment="1"/>
    <xf numFmtId="44" fontId="6" fillId="0" borderId="5" xfId="1" applyNumberFormat="1" applyFont="1" applyBorder="1" applyAlignment="1"/>
    <xf numFmtId="17" fontId="2" fillId="0" borderId="0" xfId="1" applyNumberFormat="1" applyFont="1" applyBorder="1"/>
    <xf numFmtId="0" fontId="3" fillId="0" borderId="7" xfId="1" applyFont="1" applyBorder="1" applyAlignment="1">
      <alignment horizontal="center"/>
    </xf>
    <xf numFmtId="16" fontId="2" fillId="0" borderId="0" xfId="1" applyNumberFormat="1" applyFont="1" applyBorder="1"/>
    <xf numFmtId="1" fontId="2" fillId="0" borderId="0" xfId="1" applyNumberFormat="1" applyFont="1" applyBorder="1" applyAlignment="1">
      <alignment horizontal="center"/>
    </xf>
    <xf numFmtId="1" fontId="7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Alignment="1">
      <alignment horizontal="left"/>
    </xf>
    <xf numFmtId="44" fontId="4" fillId="0" borderId="0" xfId="1" applyNumberFormat="1" applyFont="1" applyBorder="1"/>
    <xf numFmtId="44" fontId="2" fillId="0" borderId="0" xfId="1" applyNumberFormat="1" applyFont="1" applyBorder="1"/>
    <xf numFmtId="44" fontId="4" fillId="0" borderId="0" xfId="2" applyFont="1" applyBorder="1" applyAlignment="1"/>
    <xf numFmtId="167" fontId="4" fillId="0" borderId="5" xfId="2" applyNumberFormat="1" applyFont="1" applyBorder="1" applyAlignment="1"/>
    <xf numFmtId="44" fontId="2" fillId="0" borderId="0" xfId="1" applyNumberFormat="1" applyFont="1" applyBorder="1" applyAlignment="1"/>
    <xf numFmtId="44" fontId="6" fillId="0" borderId="0" xfId="1" applyNumberFormat="1" applyFont="1" applyBorder="1"/>
    <xf numFmtId="44" fontId="2" fillId="0" borderId="0" xfId="2" applyFont="1" applyBorder="1" applyAlignment="1"/>
    <xf numFmtId="166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44" fontId="2" fillId="0" borderId="0" xfId="2" applyFont="1"/>
    <xf numFmtId="44" fontId="2" fillId="0" borderId="9" xfId="1" applyNumberFormat="1" applyFont="1" applyBorder="1"/>
    <xf numFmtId="0" fontId="2" fillId="0" borderId="9" xfId="1" applyFont="1" applyBorder="1" applyAlignment="1"/>
    <xf numFmtId="0" fontId="3" fillId="0" borderId="0" xfId="1" applyFont="1" applyBorder="1" applyAlignment="1">
      <alignment horizontal="center"/>
    </xf>
    <xf numFmtId="0" fontId="2" fillId="0" borderId="10" xfId="1" applyFont="1" applyBorder="1"/>
    <xf numFmtId="0" fontId="2" fillId="0" borderId="9" xfId="1" applyFont="1" applyBorder="1"/>
    <xf numFmtId="44" fontId="8" fillId="0" borderId="9" xfId="1" applyNumberFormat="1" applyFont="1" applyBorder="1"/>
    <xf numFmtId="10" fontId="2" fillId="0" borderId="9" xfId="3" applyNumberFormat="1" applyFont="1" applyBorder="1"/>
    <xf numFmtId="0" fontId="2" fillId="0" borderId="9" xfId="1" applyFont="1" applyBorder="1" applyAlignment="1">
      <alignment horizontal="right"/>
    </xf>
    <xf numFmtId="44" fontId="8" fillId="0" borderId="9" xfId="1" applyNumberFormat="1" applyFont="1" applyBorder="1" applyAlignment="1"/>
    <xf numFmtId="44" fontId="4" fillId="0" borderId="9" xfId="1" applyNumberFormat="1" applyFont="1" applyBorder="1" applyAlignment="1"/>
    <xf numFmtId="10" fontId="2" fillId="0" borderId="11" xfId="3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44" fontId="4" fillId="0" borderId="0" xfId="1" applyNumberFormat="1" applyFont="1" applyBorder="1" applyAlignment="1"/>
    <xf numFmtId="44" fontId="4" fillId="0" borderId="2" xfId="1" applyNumberFormat="1" applyFont="1" applyBorder="1"/>
    <xf numFmtId="44" fontId="4" fillId="0" borderId="2" xfId="1" applyNumberFormat="1" applyFont="1" applyBorder="1" applyAlignment="1"/>
    <xf numFmtId="44" fontId="2" fillId="0" borderId="0" xfId="1" applyNumberFormat="1" applyFont="1"/>
    <xf numFmtId="44" fontId="9" fillId="0" borderId="0" xfId="1" applyNumberFormat="1" applyFont="1" applyBorder="1" applyAlignment="1"/>
    <xf numFmtId="0" fontId="10" fillId="0" borderId="0" xfId="1" applyFont="1"/>
    <xf numFmtId="168" fontId="2" fillId="0" borderId="0" xfId="1" applyNumberFormat="1" applyFont="1"/>
    <xf numFmtId="169" fontId="2" fillId="0" borderId="0" xfId="1" applyNumberFormat="1" applyFont="1" applyBorder="1"/>
    <xf numFmtId="170" fontId="2" fillId="0" borderId="0" xfId="2" applyNumberFormat="1" applyFont="1" applyAlignment="1">
      <alignment horizontal="center"/>
    </xf>
    <xf numFmtId="9" fontId="4" fillId="0" borderId="0" xfId="1" applyNumberFormat="1" applyFont="1"/>
    <xf numFmtId="9" fontId="4" fillId="0" borderId="0" xfId="1" applyNumberFormat="1" applyFont="1" applyAlignment="1">
      <alignment horizontal="right"/>
    </xf>
    <xf numFmtId="9" fontId="4" fillId="0" borderId="0" xfId="3" applyFont="1" applyAlignment="1">
      <alignment horizontal="center"/>
    </xf>
    <xf numFmtId="44" fontId="2" fillId="0" borderId="12" xfId="1" applyNumberFormat="1" applyFont="1" applyBorder="1" applyAlignment="1">
      <alignment horizontal="center"/>
    </xf>
    <xf numFmtId="167" fontId="2" fillId="0" borderId="12" xfId="1" applyNumberFormat="1" applyFont="1" applyBorder="1" applyAlignment="1">
      <alignment horizontal="center"/>
    </xf>
    <xf numFmtId="165" fontId="3" fillId="0" borderId="0" xfId="3" applyNumberFormat="1" applyFont="1" applyBorder="1"/>
    <xf numFmtId="165" fontId="2" fillId="0" borderId="0" xfId="1" applyNumberFormat="1" applyFont="1" applyBorder="1" applyAlignment="1">
      <alignment horizontal="right"/>
    </xf>
    <xf numFmtId="9" fontId="2" fillId="0" borderId="0" xfId="3" applyFont="1" applyBorder="1" applyAlignment="1">
      <alignment horizontal="center"/>
    </xf>
    <xf numFmtId="171" fontId="2" fillId="0" borderId="0" xfId="1" applyNumberFormat="1" applyFont="1"/>
    <xf numFmtId="9" fontId="2" fillId="2" borderId="13" xfId="3" applyFont="1" applyFill="1" applyBorder="1"/>
    <xf numFmtId="44" fontId="2" fillId="0" borderId="14" xfId="2" applyFont="1" applyBorder="1" applyAlignment="1">
      <alignment horizontal="center"/>
    </xf>
    <xf numFmtId="9" fontId="2" fillId="2" borderId="0" xfId="3" applyNumberFormat="1" applyFont="1" applyFill="1" applyBorder="1"/>
    <xf numFmtId="9" fontId="2" fillId="0" borderId="0" xfId="3" applyFont="1" applyAlignment="1">
      <alignment horizontal="right"/>
    </xf>
    <xf numFmtId="9" fontId="2" fillId="0" borderId="0" xfId="3" applyFont="1" applyAlignment="1">
      <alignment horizontal="center"/>
    </xf>
    <xf numFmtId="167" fontId="2" fillId="0" borderId="0" xfId="1" applyNumberFormat="1" applyFont="1"/>
    <xf numFmtId="9" fontId="3" fillId="0" borderId="0" xfId="3" applyFont="1" applyBorder="1"/>
    <xf numFmtId="44" fontId="9" fillId="0" borderId="0" xfId="1" applyNumberFormat="1" applyFont="1" applyBorder="1" applyAlignment="1">
      <alignment horizontal="center"/>
    </xf>
    <xf numFmtId="9" fontId="2" fillId="0" borderId="15" xfId="3" applyFont="1" applyBorder="1"/>
    <xf numFmtId="44" fontId="2" fillId="0" borderId="16" xfId="2" applyFont="1" applyBorder="1" applyAlignment="1">
      <alignment horizontal="center"/>
    </xf>
    <xf numFmtId="9" fontId="2" fillId="0" borderId="0" xfId="3" applyNumberFormat="1" applyFont="1" applyBorder="1"/>
    <xf numFmtId="44" fontId="2" fillId="0" borderId="0" xfId="3" applyNumberFormat="1" applyFont="1"/>
    <xf numFmtId="9" fontId="2" fillId="0" borderId="17" xfId="3" applyFont="1" applyBorder="1"/>
    <xf numFmtId="44" fontId="2" fillId="0" borderId="18" xfId="2" applyFont="1" applyBorder="1" applyAlignment="1">
      <alignment horizontal="center"/>
    </xf>
    <xf numFmtId="44" fontId="2" fillId="0" borderId="19" xfId="2" applyFont="1" applyBorder="1"/>
    <xf numFmtId="9" fontId="2" fillId="0" borderId="0" xfId="1" applyNumberFormat="1" applyFont="1" applyAlignment="1">
      <alignment horizontal="center"/>
    </xf>
    <xf numFmtId="9" fontId="2" fillId="0" borderId="0" xfId="3" applyFont="1" applyBorder="1" applyAlignment="1">
      <alignment horizontal="right"/>
    </xf>
    <xf numFmtId="165" fontId="4" fillId="0" borderId="0" xfId="1" applyNumberFormat="1" applyFont="1" applyBorder="1"/>
    <xf numFmtId="17" fontId="10" fillId="0" borderId="0" xfId="1" applyNumberFormat="1" applyFont="1" applyBorder="1"/>
    <xf numFmtId="169" fontId="2" fillId="0" borderId="0" xfId="4" applyNumberFormat="1" applyFont="1" applyBorder="1"/>
    <xf numFmtId="172" fontId="2" fillId="0" borderId="0" xfId="2" applyNumberFormat="1" applyFont="1" applyAlignment="1">
      <alignment horizontal="center"/>
    </xf>
    <xf numFmtId="43" fontId="2" fillId="0" borderId="0" xfId="4" applyFont="1" applyBorder="1"/>
    <xf numFmtId="173" fontId="6" fillId="0" borderId="0" xfId="1" applyNumberFormat="1" applyFont="1" applyBorder="1" applyAlignment="1">
      <alignment horizontal="right"/>
    </xf>
    <xf numFmtId="168" fontId="2" fillId="0" borderId="0" xfId="4" applyNumberFormat="1" applyFont="1"/>
    <xf numFmtId="9" fontId="2" fillId="0" borderId="13" xfId="3" applyFont="1" applyBorder="1"/>
    <xf numFmtId="9" fontId="2" fillId="0" borderId="0" xfId="3" applyFont="1"/>
    <xf numFmtId="44" fontId="2" fillId="0" borderId="19" xfId="1" applyNumberFormat="1" applyFont="1" applyBorder="1"/>
    <xf numFmtId="0" fontId="2" fillId="0" borderId="19" xfId="1" applyFont="1" applyBorder="1"/>
    <xf numFmtId="167" fontId="2" fillId="0" borderId="19" xfId="1" applyNumberFormat="1" applyFont="1" applyBorder="1"/>
    <xf numFmtId="0" fontId="7" fillId="0" borderId="0" xfId="1" applyFont="1"/>
    <xf numFmtId="44" fontId="2" fillId="0" borderId="4" xfId="1" applyNumberFormat="1" applyFont="1" applyBorder="1"/>
    <xf numFmtId="44" fontId="2" fillId="0" borderId="0" xfId="1" applyNumberFormat="1" applyFont="1" applyAlignment="1">
      <alignment horizontal="center"/>
    </xf>
    <xf numFmtId="44" fontId="2" fillId="0" borderId="8" xfId="2" applyFont="1" applyBorder="1"/>
    <xf numFmtId="167" fontId="2" fillId="0" borderId="8" xfId="2" applyNumberFormat="1" applyFont="1" applyBorder="1"/>
    <xf numFmtId="0" fontId="2" fillId="0" borderId="11" xfId="1" applyFont="1" applyBorder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44" fontId="11" fillId="0" borderId="2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/>
    <xf numFmtId="0" fontId="4" fillId="0" borderId="3" xfId="1" applyFont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74" fontId="11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12" fillId="0" borderId="5" xfId="1" applyFont="1" applyBorder="1" applyAlignment="1">
      <alignment horizontal="center"/>
    </xf>
    <xf numFmtId="0" fontId="4" fillId="0" borderId="4" xfId="1" applyFont="1" applyBorder="1"/>
    <xf numFmtId="2" fontId="3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1" fillId="0" borderId="0" xfId="1" applyBorder="1"/>
    <xf numFmtId="44" fontId="1" fillId="0" borderId="0" xfId="2" applyBorder="1" applyAlignment="1"/>
    <xf numFmtId="166" fontId="1" fillId="0" borderId="0" xfId="1" applyNumberFormat="1" applyBorder="1"/>
    <xf numFmtId="0" fontId="13" fillId="0" borderId="13" xfId="1" applyFont="1" applyFill="1" applyBorder="1"/>
    <xf numFmtId="166" fontId="13" fillId="0" borderId="14" xfId="1" applyNumberFormat="1" applyFont="1" applyFill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44" fontId="14" fillId="0" borderId="0" xfId="2" applyFont="1" applyFill="1" applyBorder="1"/>
    <xf numFmtId="171" fontId="2" fillId="0" borderId="0" xfId="2" applyNumberFormat="1" applyFont="1" applyBorder="1"/>
    <xf numFmtId="39" fontId="2" fillId="0" borderId="0" xfId="2" applyNumberFormat="1" applyFont="1" applyBorder="1"/>
    <xf numFmtId="165" fontId="2" fillId="0" borderId="0" xfId="3" applyNumberFormat="1" applyFont="1" applyBorder="1" applyAlignment="1"/>
    <xf numFmtId="43" fontId="2" fillId="0" borderId="5" xfId="1" applyNumberFormat="1" applyFont="1" applyBorder="1" applyAlignment="1">
      <alignment horizontal="center"/>
    </xf>
    <xf numFmtId="172" fontId="2" fillId="0" borderId="0" xfId="1" applyNumberFormat="1" applyFont="1"/>
    <xf numFmtId="172" fontId="2" fillId="0" borderId="0" xfId="2" applyNumberFormat="1" applyFont="1"/>
    <xf numFmtId="44" fontId="1" fillId="0" borderId="0" xfId="2" applyBorder="1"/>
    <xf numFmtId="0" fontId="13" fillId="0" borderId="15" xfId="1" applyFont="1" applyFill="1" applyBorder="1"/>
    <xf numFmtId="166" fontId="13" fillId="0" borderId="16" xfId="1" applyNumberFormat="1" applyFont="1" applyFill="1" applyBorder="1" applyAlignment="1">
      <alignment horizontal="left"/>
    </xf>
    <xf numFmtId="44" fontId="1" fillId="0" borderId="0" xfId="2" applyFill="1" applyBorder="1"/>
    <xf numFmtId="39" fontId="4" fillId="0" borderId="0" xfId="1" applyNumberFormat="1" applyFont="1" applyBorder="1"/>
    <xf numFmtId="9" fontId="4" fillId="0" borderId="0" xfId="3" applyFont="1"/>
    <xf numFmtId="39" fontId="4" fillId="0" borderId="5" xfId="1" applyNumberFormat="1" applyFont="1" applyBorder="1"/>
    <xf numFmtId="165" fontId="3" fillId="0" borderId="15" xfId="3" applyNumberFormat="1" applyFont="1" applyBorder="1"/>
    <xf numFmtId="165" fontId="3" fillId="0" borderId="16" xfId="3" applyNumberFormat="1" applyFont="1" applyBorder="1"/>
    <xf numFmtId="2" fontId="13" fillId="0" borderId="16" xfId="1" applyNumberFormat="1" applyFont="1" applyFill="1" applyBorder="1" applyAlignment="1">
      <alignment horizontal="left"/>
    </xf>
    <xf numFmtId="2" fontId="3" fillId="0" borderId="16" xfId="3" applyNumberFormat="1" applyFont="1" applyBorder="1"/>
    <xf numFmtId="0" fontId="13" fillId="0" borderId="17" xfId="1" applyFont="1" applyFill="1" applyBorder="1"/>
    <xf numFmtId="2" fontId="13" fillId="0" borderId="18" xfId="1" applyNumberFormat="1" applyFont="1" applyFill="1" applyBorder="1" applyAlignment="1">
      <alignment horizontal="left"/>
    </xf>
    <xf numFmtId="44" fontId="2" fillId="0" borderId="0" xfId="1" applyNumberFormat="1" applyFont="1" applyBorder="1" applyAlignment="1">
      <alignment horizontal="center"/>
    </xf>
    <xf numFmtId="0" fontId="1" fillId="0" borderId="0" xfId="1" applyFill="1" applyBorder="1"/>
    <xf numFmtId="2" fontId="1" fillId="0" borderId="0" xfId="1" applyNumberFormat="1" applyFill="1" applyBorder="1" applyAlignment="1">
      <alignment horizontal="left"/>
    </xf>
    <xf numFmtId="2" fontId="1" fillId="0" borderId="0" xfId="1" applyNumberFormat="1" applyFill="1" applyBorder="1"/>
    <xf numFmtId="172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17" fontId="2" fillId="0" borderId="0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2" fontId="2" fillId="0" borderId="0" xfId="1" applyNumberFormat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1" fillId="3" borderId="0" xfId="1" applyFill="1" applyBorder="1"/>
    <xf numFmtId="44" fontId="1" fillId="3" borderId="0" xfId="2" applyFill="1" applyBorder="1"/>
    <xf numFmtId="166" fontId="2" fillId="0" borderId="0" xfId="2" applyNumberFormat="1" applyFont="1" applyFill="1" applyBorder="1"/>
    <xf numFmtId="166" fontId="2" fillId="0" borderId="0" xfId="4" applyNumberFormat="1" applyFont="1" applyFill="1" applyBorder="1"/>
    <xf numFmtId="0" fontId="2" fillId="0" borderId="0" xfId="1" applyFont="1" applyFill="1" applyBorder="1" applyAlignment="1">
      <alignment horizontal="right"/>
    </xf>
    <xf numFmtId="165" fontId="2" fillId="0" borderId="5" xfId="3" applyNumberFormat="1" applyFont="1" applyBorder="1" applyAlignment="1">
      <alignment horizontal="center"/>
    </xf>
    <xf numFmtId="1" fontId="2" fillId="0" borderId="0" xfId="1" applyNumberFormat="1" applyFont="1" applyBorder="1"/>
    <xf numFmtId="44" fontId="3" fillId="0" borderId="15" xfId="1" applyNumberFormat="1" applyFont="1" applyBorder="1"/>
    <xf numFmtId="0" fontId="3" fillId="0" borderId="16" xfId="1" applyFont="1" applyBorder="1"/>
    <xf numFmtId="44" fontId="2" fillId="0" borderId="0" xfId="1" applyNumberFormat="1" applyFont="1" applyFill="1" applyBorder="1"/>
    <xf numFmtId="0" fontId="2" fillId="0" borderId="0" xfId="1" applyFont="1" applyFill="1" applyBorder="1"/>
    <xf numFmtId="168" fontId="2" fillId="0" borderId="0" xfId="4" applyNumberFormat="1" applyFont="1" applyBorder="1" applyAlignment="1"/>
    <xf numFmtId="9" fontId="4" fillId="0" borderId="0" xfId="3" applyNumberFormat="1" applyFont="1"/>
    <xf numFmtId="165" fontId="4" fillId="0" borderId="0" xfId="3" applyNumberFormat="1" applyFont="1"/>
    <xf numFmtId="166" fontId="13" fillId="0" borderId="18" xfId="1" applyNumberFormat="1" applyFont="1" applyFill="1" applyBorder="1" applyAlignment="1">
      <alignment horizontal="left"/>
    </xf>
    <xf numFmtId="165" fontId="2" fillId="0" borderId="0" xfId="3" applyNumberFormat="1" applyFont="1" applyFill="1" applyBorder="1" applyAlignment="1">
      <alignment horizontal="center"/>
    </xf>
    <xf numFmtId="44" fontId="2" fillId="0" borderId="9" xfId="1" applyNumberFormat="1" applyFont="1" applyBorder="1" applyAlignment="1"/>
    <xf numFmtId="0" fontId="2" fillId="0" borderId="9" xfId="1" applyFont="1" applyBorder="1" applyAlignment="1">
      <alignment horizontal="left"/>
    </xf>
    <xf numFmtId="17" fontId="2" fillId="0" borderId="9" xfId="1" applyNumberFormat="1" applyFont="1" applyBorder="1"/>
    <xf numFmtId="166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66" fontId="1" fillId="0" borderId="9" xfId="1" applyNumberFormat="1" applyBorder="1"/>
    <xf numFmtId="39" fontId="2" fillId="0" borderId="9" xfId="1" applyNumberFormat="1" applyFont="1" applyBorder="1" applyAlignment="1"/>
    <xf numFmtId="165" fontId="4" fillId="0" borderId="9" xfId="3" applyNumberFormat="1" applyFont="1" applyBorder="1" applyAlignment="1">
      <alignment horizontal="right"/>
    </xf>
    <xf numFmtId="0" fontId="4" fillId="0" borderId="1" xfId="1" applyFont="1" applyBorder="1"/>
    <xf numFmtId="17" fontId="2" fillId="0" borderId="2" xfId="1" applyNumberFormat="1" applyFont="1" applyBorder="1"/>
    <xf numFmtId="0" fontId="2" fillId="0" borderId="3" xfId="1" applyFont="1" applyBorder="1"/>
    <xf numFmtId="174" fontId="4" fillId="0" borderId="20" xfId="1" applyNumberFormat="1" applyFont="1" applyBorder="1" applyAlignment="1">
      <alignment horizontal="left"/>
    </xf>
    <xf numFmtId="0" fontId="2" fillId="0" borderId="21" xfId="1" applyFont="1" applyBorder="1"/>
    <xf numFmtId="174" fontId="4" fillId="0" borderId="21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right"/>
    </xf>
    <xf numFmtId="0" fontId="2" fillId="0" borderId="5" xfId="1" applyFont="1" applyBorder="1"/>
    <xf numFmtId="0" fontId="2" fillId="0" borderId="16" xfId="1" applyFont="1" applyBorder="1" applyAlignment="1">
      <alignment horizontal="right"/>
    </xf>
    <xf numFmtId="0" fontId="2" fillId="0" borderId="15" xfId="1" applyFont="1" applyBorder="1"/>
    <xf numFmtId="44" fontId="2" fillId="0" borderId="15" xfId="1" applyNumberFormat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44" fontId="2" fillId="0" borderId="16" xfId="1" applyNumberFormat="1" applyFont="1" applyBorder="1"/>
    <xf numFmtId="166" fontId="2" fillId="0" borderId="15" xfId="1" applyNumberFormat="1" applyFont="1" applyBorder="1" applyAlignment="1">
      <alignment horizontal="center"/>
    </xf>
    <xf numFmtId="9" fontId="8" fillId="0" borderId="0" xfId="3" applyFont="1" applyBorder="1" applyAlignment="1"/>
    <xf numFmtId="44" fontId="2" fillId="0" borderId="22" xfId="1" applyNumberFormat="1" applyFont="1" applyBorder="1"/>
    <xf numFmtId="0" fontId="2" fillId="0" borderId="23" xfId="1" applyFont="1" applyBorder="1"/>
    <xf numFmtId="166" fontId="2" fillId="0" borderId="23" xfId="1" applyNumberFormat="1" applyFont="1" applyBorder="1" applyAlignment="1">
      <alignment horizontal="center"/>
    </xf>
    <xf numFmtId="9" fontId="4" fillId="0" borderId="0" xfId="3" applyFont="1" applyBorder="1" applyAlignment="1"/>
    <xf numFmtId="17" fontId="2" fillId="0" borderId="19" xfId="1" applyNumberFormat="1" applyFont="1" applyBorder="1"/>
    <xf numFmtId="2" fontId="2" fillId="0" borderId="0" xfId="1" applyNumberFormat="1" applyFont="1" applyBorder="1" applyAlignment="1">
      <alignment horizontal="right"/>
    </xf>
    <xf numFmtId="2" fontId="2" fillId="0" borderId="16" xfId="1" applyNumberFormat="1" applyFont="1" applyBorder="1" applyAlignment="1">
      <alignment horizontal="right"/>
    </xf>
    <xf numFmtId="44" fontId="8" fillId="2" borderId="0" xfId="2" applyFont="1" applyFill="1" applyBorder="1" applyAlignment="1">
      <alignment horizontal="right"/>
    </xf>
    <xf numFmtId="44" fontId="4" fillId="2" borderId="0" xfId="2" applyFont="1" applyFill="1" applyBorder="1" applyAlignment="1">
      <alignment horizontal="right"/>
    </xf>
    <xf numFmtId="0" fontId="2" fillId="0" borderId="5" xfId="1" applyFont="1" applyFill="1" applyBorder="1" applyAlignment="1">
      <alignment horizontal="center"/>
    </xf>
    <xf numFmtId="44" fontId="2" fillId="0" borderId="0" xfId="1" applyNumberFormat="1" applyFont="1" applyBorder="1" applyAlignment="1">
      <alignment horizontal="left"/>
    </xf>
    <xf numFmtId="17" fontId="4" fillId="0" borderId="0" xfId="1" applyNumberFormat="1" applyFont="1" applyBorder="1"/>
    <xf numFmtId="0" fontId="2" fillId="0" borderId="16" xfId="1" applyFont="1" applyBorder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10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right"/>
    </xf>
    <xf numFmtId="9" fontId="4" fillId="0" borderId="0" xfId="3" applyFont="1" applyFill="1" applyBorder="1" applyAlignment="1">
      <alignment horizontal="right"/>
    </xf>
    <xf numFmtId="0" fontId="2" fillId="2" borderId="9" xfId="1" applyFont="1" applyFill="1" applyBorder="1" applyAlignment="1">
      <alignment horizontal="right"/>
    </xf>
    <xf numFmtId="0" fontId="2" fillId="0" borderId="11" xfId="1" applyFont="1" applyBorder="1"/>
    <xf numFmtId="0" fontId="4" fillId="0" borderId="0" xfId="1" applyFont="1" applyFill="1" applyBorder="1" applyAlignment="1">
      <alignment horizontal="right"/>
    </xf>
    <xf numFmtId="0" fontId="7" fillId="0" borderId="4" xfId="1" applyFont="1" applyBorder="1"/>
    <xf numFmtId="0" fontId="3" fillId="0" borderId="15" xfId="1" applyFont="1" applyBorder="1" applyAlignment="1">
      <alignment horizontal="right"/>
    </xf>
    <xf numFmtId="44" fontId="2" fillId="0" borderId="0" xfId="2" applyFont="1" applyBorder="1" applyAlignment="1">
      <alignment horizontal="center"/>
    </xf>
    <xf numFmtId="44" fontId="2" fillId="0" borderId="5" xfId="1" applyNumberFormat="1" applyFont="1" applyBorder="1" applyAlignment="1">
      <alignment horizontal="center"/>
    </xf>
    <xf numFmtId="17" fontId="4" fillId="0" borderId="1" xfId="1" applyNumberFormat="1" applyFont="1" applyBorder="1"/>
    <xf numFmtId="0" fontId="7" fillId="0" borderId="0" xfId="1" applyFont="1" applyBorder="1"/>
    <xf numFmtId="0" fontId="3" fillId="0" borderId="0" xfId="1" applyFont="1" applyBorder="1" applyAlignment="1">
      <alignment horizontal="right"/>
    </xf>
    <xf numFmtId="44" fontId="15" fillId="0" borderId="0" xfId="1" applyNumberFormat="1" applyFont="1" applyBorder="1" applyAlignment="1"/>
    <xf numFmtId="0" fontId="3" fillId="0" borderId="9" xfId="1" applyFont="1" applyBorder="1"/>
    <xf numFmtId="44" fontId="2" fillId="0" borderId="22" xfId="2" applyFont="1" applyBorder="1" applyAlignment="1">
      <alignment horizontal="center"/>
    </xf>
    <xf numFmtId="44" fontId="2" fillId="0" borderId="9" xfId="2" applyFont="1" applyBorder="1" applyAlignment="1">
      <alignment horizontal="center"/>
    </xf>
    <xf numFmtId="44" fontId="2" fillId="0" borderId="5" xfId="1" applyNumberFormat="1" applyFont="1" applyBorder="1" applyAlignment="1">
      <alignment horizontal="right"/>
    </xf>
    <xf numFmtId="44" fontId="2" fillId="0" borderId="16" xfId="1" applyNumberFormat="1" applyFont="1" applyBorder="1" applyAlignment="1">
      <alignment horizontal="left"/>
    </xf>
    <xf numFmtId="167" fontId="6" fillId="0" borderId="19" xfId="1" applyNumberFormat="1" applyFont="1" applyBorder="1"/>
    <xf numFmtId="0" fontId="7" fillId="0" borderId="15" xfId="1" applyFont="1" applyBorder="1" applyAlignment="1">
      <alignment horizontal="right"/>
    </xf>
    <xf numFmtId="44" fontId="6" fillId="0" borderId="0" xfId="1" applyNumberFormat="1" applyFont="1" applyBorder="1" applyAlignment="1">
      <alignment horizontal="left"/>
    </xf>
    <xf numFmtId="44" fontId="2" fillId="0" borderId="5" xfId="1" applyNumberFormat="1" applyFont="1" applyBorder="1"/>
    <xf numFmtId="0" fontId="7" fillId="0" borderId="16" xfId="1" applyFont="1" applyBorder="1"/>
    <xf numFmtId="0" fontId="2" fillId="0" borderId="15" xfId="1" applyFont="1" applyFill="1" applyBorder="1"/>
    <xf numFmtId="44" fontId="8" fillId="2" borderId="0" xfId="1" applyNumberFormat="1" applyFont="1" applyFill="1" applyBorder="1" applyAlignment="1"/>
    <xf numFmtId="44" fontId="15" fillId="0" borderId="0" xfId="1" applyNumberFormat="1" applyFont="1" applyBorder="1" applyAlignment="1">
      <alignment horizontal="left"/>
    </xf>
    <xf numFmtId="2" fontId="2" fillId="0" borderId="4" xfId="1" applyNumberFormat="1" applyFont="1" applyBorder="1" applyAlignment="1">
      <alignment horizontal="center"/>
    </xf>
    <xf numFmtId="8" fontId="2" fillId="0" borderId="0" xfId="1" applyNumberFormat="1" applyFont="1" applyBorder="1"/>
    <xf numFmtId="2" fontId="2" fillId="0" borderId="16" xfId="1" applyNumberFormat="1" applyFont="1" applyBorder="1" applyAlignment="1">
      <alignment horizontal="center"/>
    </xf>
    <xf numFmtId="0" fontId="4" fillId="0" borderId="16" xfId="1" applyFont="1" applyBorder="1"/>
    <xf numFmtId="0" fontId="2" fillId="2" borderId="15" xfId="1" applyFont="1" applyFill="1" applyBorder="1"/>
    <xf numFmtId="0" fontId="4" fillId="2" borderId="0" xfId="1" applyFont="1" applyFill="1" applyBorder="1" applyAlignment="1">
      <alignment horizontal="right"/>
    </xf>
    <xf numFmtId="0" fontId="12" fillId="0" borderId="0" xfId="1" applyFont="1"/>
    <xf numFmtId="0" fontId="12" fillId="0" borderId="10" xfId="1" applyFont="1" applyBorder="1"/>
    <xf numFmtId="0" fontId="4" fillId="0" borderId="9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2" fillId="0" borderId="22" xfId="1" applyFont="1" applyBorder="1"/>
    <xf numFmtId="0" fontId="9" fillId="0" borderId="23" xfId="1" applyFont="1" applyBorder="1"/>
    <xf numFmtId="44" fontId="4" fillId="0" borderId="9" xfId="1" applyNumberFormat="1" applyFont="1" applyFill="1" applyBorder="1"/>
    <xf numFmtId="0" fontId="4" fillId="0" borderId="9" xfId="1" applyFont="1" applyFill="1" applyBorder="1" applyAlignment="1">
      <alignment horizontal="right"/>
    </xf>
    <xf numFmtId="44" fontId="4" fillId="0" borderId="9" xfId="1" applyNumberFormat="1" applyFont="1" applyFill="1" applyBorder="1" applyAlignment="1"/>
    <xf numFmtId="44" fontId="2" fillId="0" borderId="11" xfId="2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Border="1"/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3" xfId="1" applyFont="1" applyFill="1" applyBorder="1" applyAlignment="1">
      <alignment horizontal="center"/>
    </xf>
    <xf numFmtId="0" fontId="4" fillId="0" borderId="24" xfId="1" applyFont="1" applyFill="1" applyBorder="1"/>
    <xf numFmtId="0" fontId="2" fillId="0" borderId="24" xfId="1" applyFont="1" applyFill="1" applyBorder="1"/>
    <xf numFmtId="0" fontId="4" fillId="0" borderId="24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4" xfId="1" applyFont="1" applyBorder="1" applyAlignment="1">
      <alignment horizontal="right"/>
    </xf>
    <xf numFmtId="0" fontId="4" fillId="0" borderId="24" xfId="1" applyFont="1" applyBorder="1" applyAlignment="1"/>
    <xf numFmtId="0" fontId="4" fillId="0" borderId="14" xfId="1" applyFont="1" applyBorder="1" applyAlignment="1">
      <alignment horizontal="center"/>
    </xf>
    <xf numFmtId="0" fontId="2" fillId="0" borderId="0" xfId="1" applyFont="1" applyFill="1"/>
    <xf numFmtId="1" fontId="13" fillId="0" borderId="13" xfId="1" applyNumberFormat="1" applyFont="1" applyFill="1" applyBorder="1"/>
    <xf numFmtId="168" fontId="4" fillId="0" borderId="0" xfId="4" applyNumberFormat="1" applyFont="1" applyBorder="1"/>
    <xf numFmtId="2" fontId="4" fillId="0" borderId="16" xfId="1" applyNumberFormat="1" applyFont="1" applyBorder="1" applyAlignment="1">
      <alignment horizontal="left"/>
    </xf>
    <xf numFmtId="1" fontId="13" fillId="0" borderId="15" xfId="1" applyNumberFormat="1" applyFont="1" applyFill="1" applyBorder="1"/>
    <xf numFmtId="166" fontId="13" fillId="0" borderId="24" xfId="1" applyNumberFormat="1" applyFont="1" applyFill="1" applyBorder="1" applyAlignment="1">
      <alignment horizontal="left"/>
    </xf>
    <xf numFmtId="0" fontId="2" fillId="0" borderId="24" xfId="1" applyFont="1" applyBorder="1"/>
    <xf numFmtId="44" fontId="14" fillId="0" borderId="24" xfId="2" applyFont="1" applyFill="1" applyBorder="1"/>
    <xf numFmtId="1" fontId="13" fillId="0" borderId="24" xfId="1" applyNumberFormat="1" applyFont="1" applyFill="1" applyBorder="1"/>
    <xf numFmtId="2" fontId="1" fillId="0" borderId="24" xfId="1" applyNumberForma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1" fontId="13" fillId="0" borderId="0" xfId="1" applyNumberFormat="1" applyFont="1" applyFill="1" applyBorder="1"/>
    <xf numFmtId="166" fontId="13" fillId="0" borderId="19" xfId="1" applyNumberFormat="1" applyFont="1" applyFill="1" applyBorder="1" applyAlignment="1">
      <alignment horizontal="left"/>
    </xf>
    <xf numFmtId="44" fontId="14" fillId="0" borderId="19" xfId="2" applyFont="1" applyFill="1" applyBorder="1"/>
    <xf numFmtId="1" fontId="13" fillId="0" borderId="19" xfId="1" applyNumberFormat="1" applyFont="1" applyFill="1" applyBorder="1"/>
    <xf numFmtId="2" fontId="1" fillId="0" borderId="19" xfId="1" applyNumberFormat="1" applyFill="1" applyBorder="1" applyAlignment="1">
      <alignment horizontal="center"/>
    </xf>
    <xf numFmtId="0" fontId="2" fillId="0" borderId="19" xfId="1" applyFont="1" applyBorder="1" applyAlignment="1">
      <alignment horizontal="right"/>
    </xf>
    <xf numFmtId="0" fontId="2" fillId="0" borderId="19" xfId="1" applyFont="1" applyBorder="1" applyAlignment="1"/>
    <xf numFmtId="0" fontId="4" fillId="0" borderId="19" xfId="1" applyFont="1" applyBorder="1" applyAlignment="1">
      <alignment horizontal="right"/>
    </xf>
    <xf numFmtId="2" fontId="4" fillId="0" borderId="18" xfId="1" applyNumberFormat="1" applyFont="1" applyBorder="1" applyAlignment="1">
      <alignment horizontal="left"/>
    </xf>
    <xf numFmtId="0" fontId="13" fillId="0" borderId="0" xfId="1" applyFont="1" applyFill="1" applyBorder="1"/>
    <xf numFmtId="0" fontId="2" fillId="0" borderId="0" xfId="1" applyFont="1" applyFill="1" applyAlignment="1">
      <alignment horizontal="center"/>
    </xf>
    <xf numFmtId="0" fontId="2" fillId="0" borderId="17" xfId="1" applyFont="1" applyFill="1" applyBorder="1"/>
    <xf numFmtId="0" fontId="2" fillId="0" borderId="19" xfId="1" applyFont="1" applyFill="1" applyBorder="1"/>
    <xf numFmtId="0" fontId="2" fillId="0" borderId="18" xfId="1" applyFont="1" applyBorder="1" applyAlignment="1">
      <alignment horizontal="center"/>
    </xf>
    <xf numFmtId="44" fontId="3" fillId="0" borderId="0" xfId="2" applyFont="1" applyFill="1"/>
    <xf numFmtId="0" fontId="3" fillId="0" borderId="0" xfId="1" applyFont="1" applyFill="1"/>
    <xf numFmtId="44" fontId="5" fillId="0" borderId="0" xfId="2" applyFont="1" applyFill="1" applyBorder="1"/>
    <xf numFmtId="2" fontId="2" fillId="0" borderId="0" xfId="1" applyNumberFormat="1" applyFont="1" applyFill="1"/>
    <xf numFmtId="2" fontId="2" fillId="0" borderId="0" xfId="1" applyNumberFormat="1" applyFont="1" applyFill="1" applyBorder="1"/>
    <xf numFmtId="2" fontId="4" fillId="2" borderId="16" xfId="1" applyNumberFormat="1" applyFont="1" applyFill="1" applyBorder="1" applyAlignment="1">
      <alignment horizontal="left"/>
    </xf>
    <xf numFmtId="168" fontId="4" fillId="2" borderId="0" xfId="4" applyNumberFormat="1" applyFont="1" applyFill="1" applyBorder="1"/>
    <xf numFmtId="44" fontId="2" fillId="0" borderId="22" xfId="2" applyFont="1" applyBorder="1"/>
    <xf numFmtId="44" fontId="7" fillId="0" borderId="22" xfId="2" applyFont="1" applyBorder="1" applyAlignment="1"/>
    <xf numFmtId="44" fontId="17" fillId="0" borderId="10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2" fontId="7" fillId="0" borderId="4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4" fontId="7" fillId="0" borderId="16" xfId="2" applyFont="1" applyBorder="1" applyAlignment="1">
      <alignment horizontal="center"/>
    </xf>
    <xf numFmtId="165" fontId="18" fillId="0" borderId="9" xfId="3" applyNumberFormat="1" applyFont="1" applyBorder="1" applyAlignment="1">
      <alignment horizontal="left"/>
    </xf>
    <xf numFmtId="44" fontId="18" fillId="0" borderId="9" xfId="1" applyNumberFormat="1" applyFont="1" applyBorder="1"/>
    <xf numFmtId="44" fontId="18" fillId="0" borderId="19" xfId="2" applyFont="1" applyBorder="1"/>
    <xf numFmtId="167" fontId="2" fillId="0" borderId="0" xfId="1" applyNumberFormat="1" applyFont="1" applyBorder="1"/>
    <xf numFmtId="44" fontId="18" fillId="0" borderId="0" xfId="2" applyFont="1" applyBorder="1"/>
    <xf numFmtId="0" fontId="7" fillId="0" borderId="7" xfId="1" applyFont="1" applyBorder="1" applyAlignment="1">
      <alignment horizontal="center"/>
    </xf>
    <xf numFmtId="0" fontId="19" fillId="0" borderId="0" xfId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43" fontId="3" fillId="0" borderId="0" xfId="4" applyFont="1"/>
    <xf numFmtId="166" fontId="2" fillId="0" borderId="0" xfId="1" applyNumberFormat="1" applyFont="1" applyBorder="1" applyAlignment="1"/>
    <xf numFmtId="44" fontId="20" fillId="0" borderId="0" xfId="2" applyFont="1" applyBorder="1"/>
    <xf numFmtId="43" fontId="2" fillId="0" borderId="0" xfId="4" applyFont="1" applyBorder="1" applyAlignment="1"/>
    <xf numFmtId="44" fontId="21" fillId="0" borderId="0" xfId="1" applyNumberFormat="1" applyFont="1" applyBorder="1"/>
    <xf numFmtId="44" fontId="21" fillId="0" borderId="9" xfId="1" applyNumberFormat="1" applyFont="1" applyBorder="1"/>
    <xf numFmtId="175" fontId="4" fillId="0" borderId="0" xfId="1" applyNumberFormat="1" applyFont="1" applyBorder="1" applyAlignment="1">
      <alignment horizontal="center"/>
    </xf>
    <xf numFmtId="175" fontId="2" fillId="0" borderId="0" xfId="1" applyNumberFormat="1" applyFont="1"/>
    <xf numFmtId="2" fontId="2" fillId="0" borderId="0" xfId="1" applyNumberFormat="1" applyFont="1" applyBorder="1"/>
    <xf numFmtId="0" fontId="7" fillId="0" borderId="9" xfId="1" applyFont="1" applyBorder="1"/>
    <xf numFmtId="1" fontId="3" fillId="0" borderId="0" xfId="1" applyNumberFormat="1" applyFont="1" applyBorder="1" applyAlignment="1">
      <alignment horizontal="center"/>
    </xf>
    <xf numFmtId="44" fontId="9" fillId="0" borderId="16" xfId="2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" fontId="3" fillId="0" borderId="16" xfId="1" applyNumberFormat="1" applyFont="1" applyBorder="1" applyAlignment="1">
      <alignment horizontal="center"/>
    </xf>
    <xf numFmtId="0" fontId="17" fillId="0" borderId="10" xfId="1" applyNumberFormat="1" applyFont="1" applyBorder="1" applyAlignment="1">
      <alignment horizontal="center"/>
    </xf>
    <xf numFmtId="44" fontId="2" fillId="0" borderId="9" xfId="2" applyFont="1" applyBorder="1"/>
    <xf numFmtId="0" fontId="7" fillId="0" borderId="22" xfId="4" applyNumberFormat="1" applyFont="1" applyBorder="1" applyAlignment="1">
      <alignment horizontal="center"/>
    </xf>
    <xf numFmtId="44" fontId="7" fillId="0" borderId="22" xfId="2" applyFont="1" applyBorder="1"/>
    <xf numFmtId="43" fontId="2" fillId="0" borderId="0" xfId="1" applyNumberFormat="1" applyFont="1" applyBorder="1" applyAlignment="1"/>
    <xf numFmtId="14" fontId="2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3" fillId="7" borderId="26" xfId="1" applyFont="1" applyFill="1" applyBorder="1" applyAlignment="1">
      <alignment horizontal="center"/>
    </xf>
    <xf numFmtId="0" fontId="3" fillId="7" borderId="27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9" fontId="2" fillId="0" borderId="13" xfId="3" applyFont="1" applyFill="1" applyBorder="1"/>
    <xf numFmtId="9" fontId="2" fillId="0" borderId="0" xfId="3" applyNumberFormat="1" applyFont="1" applyFill="1" applyBorder="1"/>
    <xf numFmtId="44" fontId="9" fillId="0" borderId="0" xfId="1" applyNumberFormat="1" applyFont="1" applyBorder="1"/>
    <xf numFmtId="0" fontId="2" fillId="0" borderId="0" xfId="1" applyFont="1" applyAlignment="1">
      <alignment horizontal="left"/>
    </xf>
    <xf numFmtId="0" fontId="13" fillId="8" borderId="13" xfId="1" applyFont="1" applyFill="1" applyBorder="1"/>
    <xf numFmtId="166" fontId="13" fillId="8" borderId="14" xfId="1" applyNumberFormat="1" applyFont="1" applyFill="1" applyBorder="1" applyAlignment="1">
      <alignment horizontal="left"/>
    </xf>
    <xf numFmtId="44" fontId="22" fillId="0" borderId="0" xfId="2" applyFont="1" applyFill="1" applyBorder="1"/>
    <xf numFmtId="0" fontId="13" fillId="8" borderId="15" xfId="1" applyFont="1" applyFill="1" applyBorder="1"/>
    <xf numFmtId="166" fontId="13" fillId="8" borderId="16" xfId="1" applyNumberFormat="1" applyFont="1" applyFill="1" applyBorder="1" applyAlignment="1">
      <alignment horizontal="left"/>
    </xf>
    <xf numFmtId="0" fontId="13" fillId="8" borderId="28" xfId="1" applyFont="1" applyFill="1" applyBorder="1"/>
    <xf numFmtId="166" fontId="13" fillId="8" borderId="29" xfId="1" applyNumberFormat="1" applyFont="1" applyFill="1" applyBorder="1" applyAlignment="1">
      <alignment horizontal="left"/>
    </xf>
    <xf numFmtId="0" fontId="23" fillId="0" borderId="4" xfId="1" applyFont="1" applyBorder="1"/>
    <xf numFmtId="165" fontId="3" fillId="8" borderId="28" xfId="3" applyNumberFormat="1" applyFont="1" applyFill="1" applyBorder="1"/>
    <xf numFmtId="165" fontId="3" fillId="8" borderId="29" xfId="3" applyNumberFormat="1" applyFont="1" applyFill="1" applyBorder="1"/>
    <xf numFmtId="0" fontId="13" fillId="8" borderId="30" xfId="1" applyFont="1" applyFill="1" applyBorder="1"/>
    <xf numFmtId="166" fontId="13" fillId="8" borderId="31" xfId="1" applyNumberFormat="1" applyFont="1" applyFill="1" applyBorder="1" applyAlignment="1">
      <alignment horizontal="left"/>
    </xf>
    <xf numFmtId="166" fontId="1" fillId="0" borderId="16" xfId="1" applyNumberFormat="1" applyBorder="1"/>
    <xf numFmtId="0" fontId="13" fillId="8" borderId="32" xfId="1" applyFont="1" applyFill="1" applyBorder="1"/>
    <xf numFmtId="166" fontId="13" fillId="8" borderId="33" xfId="1" applyNumberFormat="1" applyFont="1" applyFill="1" applyBorder="1" applyAlignment="1">
      <alignment horizontal="left"/>
    </xf>
    <xf numFmtId="0" fontId="13" fillId="8" borderId="34" xfId="1" applyFont="1" applyFill="1" applyBorder="1"/>
    <xf numFmtId="44" fontId="3" fillId="8" borderId="34" xfId="1" applyNumberFormat="1" applyFont="1" applyFill="1" applyBorder="1"/>
    <xf numFmtId="0" fontId="3" fillId="8" borderId="29" xfId="1" applyFont="1" applyFill="1" applyBorder="1"/>
    <xf numFmtId="2" fontId="2" fillId="0" borderId="1" xfId="1" applyNumberFormat="1" applyFont="1" applyBorder="1" applyAlignment="1">
      <alignment horizontal="center"/>
    </xf>
    <xf numFmtId="174" fontId="4" fillId="0" borderId="2" xfId="1" applyNumberFormat="1" applyFont="1" applyBorder="1" applyAlignment="1">
      <alignment horizontal="left"/>
    </xf>
    <xf numFmtId="174" fontId="4" fillId="0" borderId="3" xfId="1" applyNumberFormat="1" applyFont="1" applyBorder="1" applyAlignment="1">
      <alignment horizontal="left"/>
    </xf>
    <xf numFmtId="174" fontId="4" fillId="0" borderId="2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2" fillId="0" borderId="11" xfId="1" applyNumberFormat="1" applyFont="1" applyBorder="1"/>
    <xf numFmtId="168" fontId="6" fillId="0" borderId="5" xfId="4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2" fontId="2" fillId="0" borderId="11" xfId="1" applyNumberFormat="1" applyFont="1" applyBorder="1" applyAlignment="1">
      <alignment horizontal="right"/>
    </xf>
    <xf numFmtId="168" fontId="6" fillId="0" borderId="35" xfId="4" applyNumberFormat="1" applyFont="1" applyBorder="1" applyAlignment="1">
      <alignment horizontal="center"/>
    </xf>
    <xf numFmtId="0" fontId="24" fillId="7" borderId="0" xfId="1" applyFont="1" applyFill="1" applyBorder="1"/>
    <xf numFmtId="0" fontId="2" fillId="7" borderId="0" xfId="1" applyFont="1" applyFill="1" applyBorder="1"/>
    <xf numFmtId="168" fontId="6" fillId="0" borderId="5" xfId="4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right"/>
    </xf>
    <xf numFmtId="0" fontId="6" fillId="0" borderId="5" xfId="1" applyFont="1" applyFill="1" applyBorder="1" applyAlignment="1">
      <alignment horizontal="center"/>
    </xf>
    <xf numFmtId="0" fontId="4" fillId="0" borderId="13" xfId="1" applyFont="1" applyBorder="1" applyAlignment="1">
      <alignment horizontal="left"/>
    </xf>
    <xf numFmtId="0" fontId="2" fillId="0" borderId="36" xfId="1" applyFont="1" applyBorder="1"/>
    <xf numFmtId="0" fontId="3" fillId="8" borderId="4" xfId="1" applyFont="1" applyFill="1" applyBorder="1"/>
    <xf numFmtId="0" fontId="3" fillId="8" borderId="0" xfId="1" applyFont="1" applyFill="1" applyBorder="1" applyAlignment="1">
      <alignment horizontal="left"/>
    </xf>
    <xf numFmtId="0" fontId="2" fillId="0" borderId="15" xfId="1" applyFont="1" applyBorder="1" applyAlignment="1">
      <alignment horizontal="right"/>
    </xf>
    <xf numFmtId="44" fontId="2" fillId="0" borderId="5" xfId="2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0" fontId="2" fillId="0" borderId="23" xfId="1" applyFont="1" applyBorder="1" applyAlignment="1">
      <alignment horizontal="right"/>
    </xf>
    <xf numFmtId="44" fontId="2" fillId="0" borderId="11" xfId="2" applyFont="1" applyBorder="1" applyAlignment="1">
      <alignment horizontal="center"/>
    </xf>
    <xf numFmtId="0" fontId="6" fillId="0" borderId="5" xfId="1" applyFont="1" applyBorder="1"/>
    <xf numFmtId="44" fontId="2" fillId="0" borderId="4" xfId="2" applyFont="1" applyBorder="1" applyAlignment="1">
      <alignment horizontal="center"/>
    </xf>
    <xf numFmtId="44" fontId="6" fillId="0" borderId="6" xfId="2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4" fontId="2" fillId="0" borderId="5" xfId="1" applyNumberFormat="1" applyFont="1" applyBorder="1" applyAlignment="1">
      <alignment horizontal="left"/>
    </xf>
    <xf numFmtId="44" fontId="6" fillId="0" borderId="13" xfId="2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44" fontId="2" fillId="0" borderId="36" xfId="1" applyNumberFormat="1" applyFont="1" applyBorder="1" applyAlignment="1">
      <alignment horizontal="left"/>
    </xf>
    <xf numFmtId="0" fontId="2" fillId="0" borderId="37" xfId="1" applyFont="1" applyBorder="1"/>
    <xf numFmtId="0" fontId="3" fillId="8" borderId="28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44" fontId="6" fillId="0" borderId="5" xfId="1" applyNumberFormat="1" applyFont="1" applyBorder="1" applyAlignment="1">
      <alignment horizontal="center"/>
    </xf>
    <xf numFmtId="44" fontId="2" fillId="0" borderId="15" xfId="2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44" fontId="2" fillId="0" borderId="4" xfId="2" applyFont="1" applyBorder="1"/>
    <xf numFmtId="0" fontId="2" fillId="0" borderId="15" xfId="1" applyFont="1" applyBorder="1" applyAlignment="1">
      <alignment horizontal="center"/>
    </xf>
    <xf numFmtId="0" fontId="3" fillId="8" borderId="38" xfId="1" applyFont="1" applyFill="1" applyBorder="1"/>
    <xf numFmtId="166" fontId="3" fillId="8" borderId="38" xfId="1" applyNumberFormat="1" applyFont="1" applyFill="1" applyBorder="1" applyAlignment="1">
      <alignment horizontal="left"/>
    </xf>
    <xf numFmtId="44" fontId="25" fillId="0" borderId="5" xfId="1" applyNumberFormat="1" applyFont="1" applyBorder="1" applyAlignment="1">
      <alignment horizontal="left"/>
    </xf>
    <xf numFmtId="167" fontId="6" fillId="0" borderId="0" xfId="1" applyNumberFormat="1" applyFont="1" applyBorder="1"/>
    <xf numFmtId="0" fontId="3" fillId="0" borderId="17" xfId="1" applyFont="1" applyBorder="1" applyAlignment="1">
      <alignment horizontal="right"/>
    </xf>
    <xf numFmtId="44" fontId="2" fillId="0" borderId="35" xfId="1" applyNumberFormat="1" applyFont="1" applyBorder="1" applyAlignment="1">
      <alignment horizontal="right"/>
    </xf>
    <xf numFmtId="44" fontId="15" fillId="0" borderId="4" xfId="2" applyFont="1" applyBorder="1" applyAlignment="1">
      <alignment horizontal="center"/>
    </xf>
    <xf numFmtId="44" fontId="15" fillId="0" borderId="15" xfId="2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26" fillId="0" borderId="4" xfId="1" applyFont="1" applyBorder="1"/>
    <xf numFmtId="0" fontId="26" fillId="0" borderId="0" xfId="1" applyFont="1" applyBorder="1"/>
    <xf numFmtId="0" fontId="6" fillId="0" borderId="35" xfId="1" applyFont="1" applyBorder="1"/>
    <xf numFmtId="0" fontId="16" fillId="0" borderId="0" xfId="1" applyFont="1" applyBorder="1" applyAlignment="1">
      <alignment horizontal="center"/>
    </xf>
    <xf numFmtId="0" fontId="9" fillId="0" borderId="0" xfId="1" applyFont="1" applyBorder="1"/>
    <xf numFmtId="168" fontId="6" fillId="0" borderId="36" xfId="1" applyNumberFormat="1" applyFont="1" applyFill="1" applyBorder="1" applyAlignment="1">
      <alignment horizontal="center"/>
    </xf>
    <xf numFmtId="44" fontId="2" fillId="0" borderId="10" xfId="1" applyNumberFormat="1" applyFont="1" applyBorder="1"/>
    <xf numFmtId="0" fontId="9" fillId="0" borderId="9" xfId="1" applyFont="1" applyBorder="1"/>
    <xf numFmtId="44" fontId="2" fillId="0" borderId="23" xfId="2" applyFont="1" applyBorder="1"/>
    <xf numFmtId="44" fontId="27" fillId="0" borderId="11" xfId="1" applyNumberFormat="1" applyFont="1" applyBorder="1"/>
    <xf numFmtId="44" fontId="6" fillId="0" borderId="11" xfId="2" applyFont="1" applyFill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4" fillId="0" borderId="1" xfId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1" applyFont="1" applyFill="1" applyBorder="1"/>
    <xf numFmtId="0" fontId="4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Border="1" applyAlignment="1"/>
    <xf numFmtId="0" fontId="12" fillId="0" borderId="5" xfId="1" applyFont="1" applyBorder="1" applyAlignment="1">
      <alignment horizontal="left"/>
    </xf>
    <xf numFmtId="0" fontId="13" fillId="0" borderId="4" xfId="1" applyFont="1" applyFill="1" applyBorder="1"/>
    <xf numFmtId="44" fontId="14" fillId="0" borderId="5" xfId="2" applyFont="1" applyFill="1" applyBorder="1"/>
    <xf numFmtId="1" fontId="13" fillId="0" borderId="4" xfId="1" applyNumberFormat="1" applyFont="1" applyFill="1" applyBorder="1"/>
    <xf numFmtId="168" fontId="4" fillId="0" borderId="4" xfId="4" applyNumberFormat="1" applyFont="1" applyFill="1" applyBorder="1"/>
    <xf numFmtId="2" fontId="4" fillId="0" borderId="5" xfId="1" applyNumberFormat="1" applyFont="1" applyFill="1" applyBorder="1" applyAlignment="1">
      <alignment horizontal="left"/>
    </xf>
    <xf numFmtId="44" fontId="1" fillId="0" borderId="5" xfId="2" applyFill="1" applyBorder="1"/>
    <xf numFmtId="168" fontId="4" fillId="0" borderId="4" xfId="4" applyNumberFormat="1" applyFont="1" applyBorder="1"/>
    <xf numFmtId="2" fontId="4" fillId="0" borderId="5" xfId="1" applyNumberFormat="1" applyFont="1" applyBorder="1" applyAlignment="1">
      <alignment horizontal="left"/>
    </xf>
    <xf numFmtId="0" fontId="13" fillId="0" borderId="10" xfId="1" applyFont="1" applyFill="1" applyBorder="1"/>
    <xf numFmtId="166" fontId="13" fillId="0" borderId="9" xfId="1" applyNumberFormat="1" applyFont="1" applyFill="1" applyBorder="1" applyAlignment="1">
      <alignment horizontal="left"/>
    </xf>
    <xf numFmtId="44" fontId="14" fillId="0" borderId="11" xfId="2" applyFont="1" applyFill="1" applyBorder="1"/>
    <xf numFmtId="1" fontId="13" fillId="0" borderId="10" xfId="1" applyNumberFormat="1" applyFont="1" applyFill="1" applyBorder="1"/>
    <xf numFmtId="2" fontId="1" fillId="0" borderId="9" xfId="1" applyNumberFormat="1" applyFill="1" applyBorder="1" applyAlignment="1">
      <alignment horizontal="center"/>
    </xf>
    <xf numFmtId="43" fontId="2" fillId="0" borderId="19" xfId="4" applyFont="1" applyBorder="1"/>
    <xf numFmtId="168" fontId="4" fillId="0" borderId="10" xfId="4" applyNumberFormat="1" applyFont="1" applyBorder="1"/>
    <xf numFmtId="2" fontId="4" fillId="0" borderId="11" xfId="1" applyNumberFormat="1" applyFont="1" applyBorder="1" applyAlignment="1">
      <alignment horizontal="left"/>
    </xf>
    <xf numFmtId="2" fontId="4" fillId="0" borderId="0" xfId="1" applyNumberFormat="1" applyFont="1" applyBorder="1" applyAlignment="1">
      <alignment horizontal="left"/>
    </xf>
    <xf numFmtId="0" fontId="13" fillId="8" borderId="39" xfId="1" applyFont="1" applyFill="1" applyBorder="1"/>
    <xf numFmtId="0" fontId="12" fillId="0" borderId="19" xfId="1" applyFont="1" applyBorder="1" applyAlignment="1">
      <alignment horizontal="right"/>
    </xf>
    <xf numFmtId="0" fontId="12" fillId="0" borderId="19" xfId="1" applyFont="1" applyBorder="1" applyAlignment="1">
      <alignment horizontal="left"/>
    </xf>
  </cellXfs>
  <cellStyles count="5">
    <cellStyle name="Comma 2" xfId="4"/>
    <cellStyle name="Currency 2" xfId="2"/>
    <cellStyle name="Normal" xfId="0" builtinId="0"/>
    <cellStyle name="Normal 2" xfId="1"/>
    <cellStyle name="Percent 2" xfId="3"/>
  </cellStyles>
  <dxfs count="18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VL%20main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nes worksheet"/>
      <sheetName val="DryerRebuild"/>
      <sheetName val="Hubusch Wash"/>
      <sheetName val="COLLECT(a)"/>
      <sheetName val="COLLECT (or)"/>
      <sheetName val="ORDER LIST"/>
      <sheetName val="Laundromat Sale info 2015"/>
      <sheetName val="Laundromat Detail 2013"/>
      <sheetName val="TASKS"/>
      <sheetName val="Tasklist &amp; QA"/>
      <sheetName val="Schedule, Phone &amp; Order List"/>
      <sheetName val="WC Insurance"/>
      <sheetName val="Taxes"/>
      <sheetName val="Purchasing"/>
      <sheetName val="Horsey"/>
      <sheetName val="LENNY"/>
      <sheetName val="Equip List"/>
      <sheetName val="Utilities Caculator"/>
      <sheetName val="Utilities Graphs"/>
      <sheetName val="Utilities Reimbursment 2016"/>
      <sheetName val="Utilities Reimbursment 2015"/>
      <sheetName val="Utilities Reimbursment 2014"/>
      <sheetName val="Utilities Reimbursment 2013"/>
      <sheetName val="Utilities Reimbursment 2012"/>
      <sheetName val="Utilities Reimbursment 2011"/>
      <sheetName val="Water Consumption"/>
      <sheetName val="Trends"/>
      <sheetName val="WE 11-25-16 (2)"/>
      <sheetName val="WE 11-25-16"/>
      <sheetName val="WE 05-06-16"/>
      <sheetName val="WE 04-29-16"/>
      <sheetName val="WE 04-22-16"/>
      <sheetName val="WE 04-15-16"/>
      <sheetName val="WE 04-08-16"/>
      <sheetName val="WE 04-01-16"/>
      <sheetName val="WE 03-25-16"/>
      <sheetName val="WE 03-18-16"/>
      <sheetName val="WE 03-11-16"/>
      <sheetName val="WE 03-04-16"/>
      <sheetName val="WE 02-26-16"/>
      <sheetName val="WE 02-19-16"/>
      <sheetName val="WE 02-12-16"/>
      <sheetName val="WE 02-05-16"/>
      <sheetName val="WE 01-29-16"/>
      <sheetName val="WE 01-22-16"/>
      <sheetName val="WE 01-15-16"/>
      <sheetName val="WE 01-08-16"/>
      <sheetName val="WE 11-14-14"/>
      <sheetName val="WE 11-09-14"/>
      <sheetName val="WE 10-31-14"/>
      <sheetName val="WE 10-24-14"/>
      <sheetName val="WE 10-17-14"/>
      <sheetName val="WE 10-09-14"/>
      <sheetName val="WE 10-03-14"/>
      <sheetName val="WE 09-26-14"/>
      <sheetName val="WE 09-19-14"/>
      <sheetName val="WE 09-12-14"/>
      <sheetName val="WE 09-05-14"/>
      <sheetName val="WE 08-29-14"/>
      <sheetName val="WE 08-22-14"/>
      <sheetName val="WE 08-15-14"/>
      <sheetName val="WE 08-08-14"/>
      <sheetName val="WE 08-01-14"/>
      <sheetName val="WE 07-25-14"/>
      <sheetName val="WE 07-18-14"/>
      <sheetName val="WE 07-11-14"/>
      <sheetName val="WE 07-04-14"/>
      <sheetName val="WE 06-27-14"/>
      <sheetName val="WE 06-20-14"/>
      <sheetName val="WE 06-12-14"/>
      <sheetName val="WE 06-05-14"/>
      <sheetName val="WE 05-30-14"/>
      <sheetName val="WE 05-23-14"/>
      <sheetName val="WE 05-16-14"/>
      <sheetName val="WE 05-09-14"/>
      <sheetName val="WE 05-02-14"/>
      <sheetName val="WE 04-25-14"/>
      <sheetName val="WE 04-18-14"/>
      <sheetName val="WE 04-11-14"/>
      <sheetName val="WE 04-04-14"/>
      <sheetName val="WE 03-28-14"/>
      <sheetName val="WE 03-21-14"/>
      <sheetName val="WE 03-14-14"/>
      <sheetName val="WE 03-07-14"/>
      <sheetName val="WE 02-28-14"/>
      <sheetName val="WE 02-21-14"/>
      <sheetName val="WE 02-14-14"/>
      <sheetName val="WE 02-07-14"/>
      <sheetName val="WE 01-31-14"/>
      <sheetName val="WE 01-24-14"/>
      <sheetName val="WE 01-17-14"/>
      <sheetName val="WE 01-10-14"/>
      <sheetName val="WE 01-03-14"/>
      <sheetName val="WE 12-27-13"/>
      <sheetName val="WE 12-20-13"/>
      <sheetName val="WE 12-13-13"/>
      <sheetName val="WE 12-6-13"/>
      <sheetName val="WE 11-29-13"/>
      <sheetName val="WE 11-22-13"/>
      <sheetName val="WE 11-15-13"/>
      <sheetName val="WE 11-8-13"/>
      <sheetName val="WE 11-1-13"/>
      <sheetName val="WE 10-25-13"/>
      <sheetName val="WE 10-18-13"/>
      <sheetName val="WE 10-11-13"/>
      <sheetName val="WE 10-04-13"/>
      <sheetName val="WE 09-27-13"/>
      <sheetName val="WE 09-20-13"/>
      <sheetName val="WE 09-13-13"/>
      <sheetName val="WE 09-06-13"/>
      <sheetName val="WE 12-14-12"/>
      <sheetName val="WE 12-14-12 (2)"/>
      <sheetName val="WE 12-07-12"/>
      <sheetName val="WE 11-29-12"/>
      <sheetName val="WE 11-22-12"/>
      <sheetName val="WE 11-16-12"/>
      <sheetName val="WE 11-09-12"/>
      <sheetName val="WE 11-02-12"/>
      <sheetName val="WE 10-26-12"/>
      <sheetName val="WE 10-19-12"/>
      <sheetName val="WE 10-12-12"/>
      <sheetName val="WE 10-05-12"/>
      <sheetName val="WE 09-28-12"/>
      <sheetName val="WE 09-21-12"/>
      <sheetName val="WE 09-14-12"/>
      <sheetName val="WE 09-07-12"/>
      <sheetName val="WE 08-31-12"/>
      <sheetName val="WE 08-24-12"/>
      <sheetName val="WE 08-17-12"/>
      <sheetName val="WE 08-11-12"/>
      <sheetName val="WE 08-03-12"/>
      <sheetName val="WE 07-26-12"/>
      <sheetName val="WE 07-20-12"/>
      <sheetName val="WE 07-13-12"/>
      <sheetName val="WE 07-06-12"/>
      <sheetName val="WE 06-29-12"/>
      <sheetName val="WE 06-22-12"/>
      <sheetName val="WE 06-15-12"/>
      <sheetName val="WE 06-08-12"/>
      <sheetName val="WE 06-01-12"/>
      <sheetName val="WE 05-25-12"/>
      <sheetName val="WE 05-21-12"/>
      <sheetName val="WE 05-11-12"/>
      <sheetName val="WE 05-04-12"/>
      <sheetName val="WE 04-30-12"/>
      <sheetName val="WE 04-23-12"/>
      <sheetName val="WE 04-16-12"/>
      <sheetName val="WE 04-09-12"/>
      <sheetName val="WE 04-01-12"/>
      <sheetName val="WE 03-25-12"/>
      <sheetName val="WE 03-18-12"/>
      <sheetName val="WE 03-11-12"/>
      <sheetName val="WE 03-04-12"/>
      <sheetName val="WE 02-26-12"/>
      <sheetName val="WE 02-19-12"/>
      <sheetName val="WE 02-12-12"/>
      <sheetName val="WE 02-05-12"/>
      <sheetName val="WE 01-30-12"/>
      <sheetName val="WE 01-23-12"/>
      <sheetName val="WE 01-16-12"/>
      <sheetName val="WE 01-09-12"/>
      <sheetName val="WE 01-01-12"/>
      <sheetName val="WE 12-25-11"/>
      <sheetName val="WE 12-18-11"/>
      <sheetName val="WE 12-11-11"/>
      <sheetName val="WE 12-04-11"/>
      <sheetName val="WE 11-27-11"/>
      <sheetName val="WE 11-20-11"/>
      <sheetName val="WE 11-13-11"/>
      <sheetName val="WE 11-06-11"/>
      <sheetName val="WE 10-30-11"/>
      <sheetName val="WE 10-23-11"/>
      <sheetName val="WE 10-16-11"/>
      <sheetName val="WE 10-09-11"/>
      <sheetName val="WE 10-02-11"/>
      <sheetName val="WE 09-25-11"/>
      <sheetName val="WE 09-18-11"/>
      <sheetName val="WE 09-11-11"/>
      <sheetName val="WE 09-04-11"/>
      <sheetName val="WE 08-28-11"/>
      <sheetName val="WE 08-21-11"/>
      <sheetName val="WE 08-14-11"/>
      <sheetName val="WE 08-08-11"/>
      <sheetName val="WE 08-01-11"/>
      <sheetName val="WE 07-25-11"/>
      <sheetName val="WE 07-18-11"/>
      <sheetName val="WE 07-11-11"/>
      <sheetName val="WE 07-04-11"/>
      <sheetName val="WE 06-27-11"/>
      <sheetName val="WE 06-20-11"/>
      <sheetName val="WE 06-13-11"/>
      <sheetName val="WE 06-06-11"/>
      <sheetName val="WE 05-29-11"/>
      <sheetName val="WE 05-22-11"/>
      <sheetName val="WE 05-15-11"/>
      <sheetName val="WE 05-08-11"/>
      <sheetName val="WE 05-01-11"/>
      <sheetName val="WE 04-24-11"/>
      <sheetName val="WE 04-17-11"/>
      <sheetName val="WE 04-10-11"/>
      <sheetName val="WE 04-03-11"/>
      <sheetName val="WE 03-27-11"/>
      <sheetName val="WE 03-20-11"/>
      <sheetName val="WE 03-13-11"/>
      <sheetName val="WE 03-06-11"/>
      <sheetName val="WE 02-27-11"/>
      <sheetName val="WE 02-20-11"/>
      <sheetName val="WE 02-13-11"/>
      <sheetName val="WE 02-06-11"/>
      <sheetName val="WE 01-30-11"/>
      <sheetName val="WE 01-23-11"/>
      <sheetName val="WE 01-17-11"/>
      <sheetName val="WE 01-10-11"/>
      <sheetName val="WE 01-03-11"/>
      <sheetName val="WE 12-26-10"/>
      <sheetName val="WE 12-19-10"/>
      <sheetName val="WE 12-12-10"/>
      <sheetName val="WE 12-05-10"/>
      <sheetName val="WE 11-28-10"/>
      <sheetName val="WE 11-21-10"/>
      <sheetName val="WE 11-15-10"/>
      <sheetName val="WE 11-08-10"/>
      <sheetName val="WE 11-01-10"/>
      <sheetName val="WE 10-25-10"/>
      <sheetName val="WE 10-18-10"/>
      <sheetName val="WE 10-11-10"/>
      <sheetName val="WE 10-04-10"/>
      <sheetName val="WE 09-27-10"/>
      <sheetName val="WE 09-20-10"/>
      <sheetName val="WE 09-13-10"/>
      <sheetName val="WE 09-06-10"/>
      <sheetName val="WE 08-30-10"/>
      <sheetName val="WE 08-23-10"/>
      <sheetName val="WE 08-16-10"/>
      <sheetName val="WE 08-09-10"/>
      <sheetName val="WE 08-02-10"/>
      <sheetName val="WE 07-26-10"/>
      <sheetName val="WE 07-19-10"/>
      <sheetName val="WE 07-12-10"/>
      <sheetName val="WE 07-05-10"/>
      <sheetName val="2009 PP sheet"/>
      <sheetName val="Taxes Fernando PP reimburse (2)"/>
      <sheetName val="Taxes Fernando PP reimburse"/>
      <sheetName val="Laundry Mat Detail (2)"/>
      <sheetName val="Laundry Mat Detail"/>
      <sheetName val="Laundry Mat Pro Forma (2)"/>
      <sheetName val="Laundry Mat Pro Forma"/>
      <sheetName val="Laundraumat Due Diligence"/>
      <sheetName val="PPT Guess 2008-9"/>
      <sheetName val="2008 Fed Dep."/>
      <sheetName val="ARCHIVE Schedule"/>
      <sheetName val="Quote NWFC 09242010-1"/>
      <sheetName val="Inv-101005-1"/>
      <sheetName val="Misc Calc"/>
      <sheetName val="Trends with full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42489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>
            <v>41901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9">
          <cell r="B9">
            <v>30000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zoomScale="75" zoomScaleNormal="75" workbookViewId="0">
      <selection activeCell="J1" sqref="J1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42490</v>
      </c>
      <c r="B1" s="372">
        <f>(+'[1]WE 04-29-16'!B2 )+1</f>
        <v>42490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42496</v>
      </c>
      <c r="B2" s="374">
        <v>42496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347.26785714285717</v>
      </c>
    </row>
    <row r="3" spans="1:30" x14ac:dyDescent="0.2">
      <c r="A3" s="1">
        <f>+B3</f>
        <v>42492</v>
      </c>
      <c r="B3" s="374">
        <v>42492</v>
      </c>
      <c r="C3" s="4" t="s">
        <v>2</v>
      </c>
      <c r="V3" s="7" t="s">
        <v>22</v>
      </c>
      <c r="W3" s="56">
        <f>+AA7/I8</f>
        <v>349.125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42496</v>
      </c>
      <c r="C7" s="34"/>
      <c r="E7" s="33">
        <f>+B1</f>
        <v>42490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2430.875</v>
      </c>
      <c r="Z7" s="353">
        <f>+I8</f>
        <v>7</v>
      </c>
      <c r="AA7" s="36">
        <f>+Y113</f>
        <v>2443.875</v>
      </c>
      <c r="AD7" s="4">
        <v>39013.949999999997</v>
      </c>
    </row>
    <row r="8" spans="1:30" ht="13.5" x14ac:dyDescent="0.25">
      <c r="A8" s="37" t="s">
        <v>25</v>
      </c>
      <c r="B8" s="375">
        <v>82837</v>
      </c>
      <c r="C8" s="39">
        <f>+B7</f>
        <v>42496</v>
      </c>
      <c r="D8" s="15">
        <f>+U8/U14</f>
        <v>0.70334110419281948</v>
      </c>
      <c r="E8" s="375">
        <v>82620</v>
      </c>
      <c r="F8" s="39">
        <f>+E7</f>
        <v>42490</v>
      </c>
      <c r="G8" s="40">
        <f t="shared" ref="G8:G13" si="0">+B8-E8</f>
        <v>217</v>
      </c>
      <c r="H8" s="41"/>
      <c r="I8" s="42">
        <f>+C8-F8+1</f>
        <v>7</v>
      </c>
      <c r="J8" s="9">
        <f>+G8/I8</f>
        <v>31</v>
      </c>
      <c r="L8" s="10">
        <v>15</v>
      </c>
      <c r="M8" s="11">
        <f>+O28</f>
        <v>0.87992999999999999</v>
      </c>
      <c r="N8" s="12">
        <f>+J8*(365/12)</f>
        <v>942.91666666666674</v>
      </c>
      <c r="O8" s="13">
        <f>+((N8*+Q8)*M8)+L8</f>
        <v>884.94114463125004</v>
      </c>
      <c r="P8" s="12"/>
      <c r="Q8" s="11">
        <v>1.0485</v>
      </c>
      <c r="R8" s="43">
        <f>+N8*Q8</f>
        <v>988.64812500000005</v>
      </c>
      <c r="S8" s="29" t="s">
        <v>26</v>
      </c>
      <c r="T8" s="12"/>
      <c r="U8" s="44">
        <f>+O8</f>
        <v>884.94114463125004</v>
      </c>
      <c r="V8" s="346"/>
      <c r="W8" s="354">
        <f>((+G8*Q8)*M8)+(L8/+(365/12)/7)</f>
        <v>200.27608338284733</v>
      </c>
      <c r="X8" s="30"/>
      <c r="Y8" s="46">
        <f>+Y120*((365/12)/7)*(7/+Z7)</f>
        <v>10562.730654761906</v>
      </c>
      <c r="Z8" s="355">
        <f>4.3333*7</f>
        <v>30.333100000000002</v>
      </c>
      <c r="AA8" s="47">
        <f>+Y113*((365/12)/7)*(7/+Z7)</f>
        <v>10619.218750000002</v>
      </c>
      <c r="AD8" s="4">
        <f>AD7-AD6</f>
        <v>208.83999999999651</v>
      </c>
    </row>
    <row r="9" spans="1:30" ht="13.5" x14ac:dyDescent="0.25">
      <c r="A9" s="37" t="s">
        <v>27</v>
      </c>
      <c r="B9" s="376">
        <v>73133</v>
      </c>
      <c r="C9" s="39">
        <f>+C10</f>
        <v>42496</v>
      </c>
      <c r="D9" s="15">
        <f>(+U9+U10+U13)/U14</f>
        <v>0.19171401585148429</v>
      </c>
      <c r="E9" s="376">
        <v>72189</v>
      </c>
      <c r="F9" s="39">
        <f>+F10</f>
        <v>42490</v>
      </c>
      <c r="G9" s="40">
        <f t="shared" si="0"/>
        <v>944</v>
      </c>
      <c r="I9" s="42">
        <f>+C9-F9+1</f>
        <v>7</v>
      </c>
      <c r="J9" s="9">
        <f>+G9/I9</f>
        <v>134.85714285714286</v>
      </c>
      <c r="L9" s="10">
        <f>5+23.89</f>
        <v>28.89</v>
      </c>
      <c r="M9" s="11">
        <v>6.3399999999999998E-2</v>
      </c>
      <c r="N9" s="12">
        <f>+J9*(365/12)</f>
        <v>4101.9047619047624</v>
      </c>
      <c r="O9" s="13">
        <f>+L9+N9*M9</f>
        <v>288.95076190476192</v>
      </c>
      <c r="P9" s="12"/>
      <c r="Q9" s="4" t="s">
        <v>252</v>
      </c>
      <c r="S9" s="29" t="s">
        <v>29</v>
      </c>
      <c r="T9" s="12"/>
      <c r="U9" s="44">
        <f>+O9</f>
        <v>288.95076190476192</v>
      </c>
      <c r="V9" s="346"/>
      <c r="W9" s="354">
        <f>((+G9*M9))+(L9/+(365/12)/7)</f>
        <v>59.985286888454006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29611</v>
      </c>
      <c r="C10" s="39">
        <f>+C11</f>
        <v>42496</v>
      </c>
      <c r="D10" s="15"/>
      <c r="E10" s="376">
        <v>29144</v>
      </c>
      <c r="F10" s="39">
        <f>+F11</f>
        <v>42490</v>
      </c>
      <c r="G10" s="40">
        <f t="shared" si="0"/>
        <v>467</v>
      </c>
      <c r="I10" s="42">
        <f>+C10-F10+1</f>
        <v>7</v>
      </c>
      <c r="J10" s="9">
        <f>+G10/I10</f>
        <v>66.714285714285708</v>
      </c>
      <c r="L10" s="10">
        <v>23.89</v>
      </c>
      <c r="M10" s="4">
        <f>+M9</f>
        <v>6.3399999999999998E-2</v>
      </c>
      <c r="N10" s="12">
        <f>+J10*(365/12)</f>
        <v>2029.2261904761904</v>
      </c>
      <c r="O10" s="13">
        <f>+L10+N10*M10</f>
        <v>152.54294047619044</v>
      </c>
      <c r="P10" s="12"/>
      <c r="Q10" s="4" t="s">
        <v>252</v>
      </c>
      <c r="S10" s="29" t="s">
        <v>32</v>
      </c>
      <c r="T10" s="12"/>
      <c r="U10" s="49">
        <f>+O10</f>
        <v>152.54294047619044</v>
      </c>
      <c r="V10" s="346"/>
      <c r="W10" s="347">
        <f>((+G10*M10))+(L10/+(365/12)/7)</f>
        <v>29.720003522504889</v>
      </c>
      <c r="X10" s="30" t="s">
        <v>33</v>
      </c>
      <c r="Y10" s="50">
        <f>-U14</f>
        <v>-1258.1962569169643</v>
      </c>
      <c r="Z10" s="50"/>
      <c r="AA10" s="32"/>
    </row>
    <row r="11" spans="1:30" ht="13.5" x14ac:dyDescent="0.25">
      <c r="A11" s="37" t="s">
        <v>253</v>
      </c>
      <c r="B11" s="376">
        <v>56.079799999999999</v>
      </c>
      <c r="C11" s="39">
        <f>+C8</f>
        <v>42496</v>
      </c>
      <c r="D11" s="15">
        <f>+U11/U14</f>
        <v>0.10494487995569624</v>
      </c>
      <c r="E11" s="376">
        <v>52.564999999999998</v>
      </c>
      <c r="F11" s="39">
        <f>+F8</f>
        <v>42490</v>
      </c>
      <c r="G11" s="51">
        <f t="shared" si="0"/>
        <v>3.514800000000001</v>
      </c>
      <c r="H11" s="4" t="s">
        <v>35</v>
      </c>
      <c r="I11" s="42">
        <f>+C11-F11+1</f>
        <v>7</v>
      </c>
      <c r="J11" s="9">
        <f>(+G11/I11)*10</f>
        <v>5.0211428571428582</v>
      </c>
      <c r="L11" s="10">
        <v>27.52</v>
      </c>
      <c r="M11" s="4">
        <v>0.215</v>
      </c>
      <c r="N11" s="52">
        <f>+J11*(365/12)</f>
        <v>152.72642857142861</v>
      </c>
      <c r="O11" s="13">
        <f>+L11+N11*M11</f>
        <v>60.356182142857151</v>
      </c>
      <c r="P11" s="12"/>
      <c r="Q11" s="4" t="s">
        <v>254</v>
      </c>
      <c r="S11" s="29" t="s">
        <v>37</v>
      </c>
      <c r="T11" s="12"/>
      <c r="U11" s="49">
        <f>+O12+O11+5</f>
        <v>132.04125514285715</v>
      </c>
      <c r="V11" s="346"/>
      <c r="W11" s="347">
        <f>((+G11*10*M11))+((+G11*10*M12))+(L11/((365/12)/7))+(L12/((365/12)/7))</f>
        <v>29.23689159452055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152.72642857142861</v>
      </c>
      <c r="O12" s="13">
        <f>+L12+N12*M12</f>
        <v>66.685073000000017</v>
      </c>
      <c r="P12" s="12"/>
      <c r="Q12" s="4" t="s">
        <v>254</v>
      </c>
      <c r="S12" s="29" t="s">
        <v>41</v>
      </c>
      <c r="T12" s="12"/>
      <c r="U12" s="44">
        <f>+U11+U10</f>
        <v>284.58419561904759</v>
      </c>
      <c r="V12" s="346"/>
      <c r="W12" s="356">
        <f>+W11+W10</f>
        <v>58.956895117025439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v>382926</v>
      </c>
      <c r="C13" s="34">
        <f>+B7</f>
        <v>42496</v>
      </c>
      <c r="E13" s="377">
        <v>382199</v>
      </c>
      <c r="F13" s="34">
        <f>+E7</f>
        <v>42490</v>
      </c>
      <c r="G13" s="40">
        <f t="shared" si="0"/>
        <v>727</v>
      </c>
      <c r="I13" s="42">
        <f>+C13-F13+1</f>
        <v>7</v>
      </c>
      <c r="J13" s="9">
        <f>(+G13/I13)</f>
        <v>103.85714285714286</v>
      </c>
      <c r="L13" s="56">
        <v>0</v>
      </c>
      <c r="M13" s="4">
        <f>+M10</f>
        <v>6.3399999999999998E-2</v>
      </c>
      <c r="N13" s="12">
        <f>+J13*(365/12)</f>
        <v>3158.9880952380954</v>
      </c>
      <c r="O13" s="13">
        <f>-(N13*M13)+L13</f>
        <v>-200.27984523809525</v>
      </c>
      <c r="P13" s="12"/>
      <c r="S13" s="29" t="s">
        <v>44</v>
      </c>
      <c r="T13" s="12"/>
      <c r="U13" s="57">
        <f>+O13</f>
        <v>-200.27984523809525</v>
      </c>
      <c r="V13" s="346"/>
      <c r="W13" s="345">
        <f>-((+G13*M13))+(L13/+(365/12)/7)</f>
        <v>-46.091799999999999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1258.1962569169643</v>
      </c>
      <c r="V14" s="63">
        <f>((+U14/Y8))</f>
        <v>0.11911657108758542</v>
      </c>
      <c r="W14" s="357">
        <f>W13+W12+W9+W8</f>
        <v>273.12646538832678</v>
      </c>
      <c r="X14" s="343">
        <f>+W14/AA7</f>
        <v>0.11175958892673593</v>
      </c>
      <c r="Y14" s="65">
        <f>SUM(Y8:Y13)</f>
        <v>7304.5343978449419</v>
      </c>
      <c r="Z14" s="66"/>
      <c r="AA14" s="67">
        <f>+U14/AA8</f>
        <v>0.11848293989771744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768.98799019607839</v>
      </c>
      <c r="E18" s="78">
        <f>(+U26/D18)</f>
        <v>0.16619755002444503</v>
      </c>
      <c r="F18" s="79"/>
      <c r="G18" s="12" t="s">
        <v>68</v>
      </c>
      <c r="H18" s="80">
        <f>SUM(H19:H21)</f>
        <v>1</v>
      </c>
      <c r="I18" s="81">
        <f>+Z105</f>
        <v>0.66866144954222295</v>
      </c>
      <c r="J18" s="82">
        <f>+M18/M27</f>
        <v>0.69088268839034384</v>
      </c>
      <c r="L18" s="83">
        <f>+Y105</f>
        <v>1634.125</v>
      </c>
      <c r="M18" s="84">
        <f>SUM(M19:M21)</f>
        <v>1506.3210800311899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0.45215270515647793</v>
      </c>
      <c r="C19" s="4">
        <v>12</v>
      </c>
      <c r="D19" s="88">
        <f>SUM(R46:R57)+SUM(V46:V57)</f>
        <v>347.7</v>
      </c>
      <c r="E19" s="379">
        <f>+F19/SUM(F19:F21)</f>
        <v>0.45215270515647793</v>
      </c>
      <c r="F19" s="90">
        <f>+D19*E18</f>
        <v>57.786888143499532</v>
      </c>
      <c r="G19" s="12" t="s">
        <v>70</v>
      </c>
      <c r="H19" s="380">
        <f>+L19/L18</f>
        <v>0.2659680257018282</v>
      </c>
      <c r="I19" s="92">
        <f>+L19/(+L18+L23)</f>
        <v>0.17784256559766765</v>
      </c>
      <c r="J19" s="93">
        <f>+M19/M27</f>
        <v>0.17283893272075121</v>
      </c>
      <c r="L19" s="74">
        <f>SUM(Y46:Y57)</f>
        <v>434.625</v>
      </c>
      <c r="M19" s="94">
        <f>+L19-F19</f>
        <v>376.83811185650046</v>
      </c>
      <c r="N19" s="4">
        <v>0.25</v>
      </c>
      <c r="O19" s="56">
        <f>+D19*N19</f>
        <v>86.924999999999997</v>
      </c>
      <c r="Q19" s="56">
        <f>+O19*4.33333</f>
        <v>376.67471024999998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0.21423783678000533</v>
      </c>
      <c r="C20" s="4">
        <v>5</v>
      </c>
      <c r="D20" s="88">
        <f>SUM(R33:R37)+SUM(V33:V37)</f>
        <v>164.74632352941177</v>
      </c>
      <c r="E20" s="97">
        <f>+F20/SUM(F19:F21)</f>
        <v>0.2142378367800053</v>
      </c>
      <c r="F20" s="98">
        <f>+D20*E18</f>
        <v>27.380435346122816</v>
      </c>
      <c r="G20" s="12"/>
      <c r="H20" s="99">
        <f>+L20/L18</f>
        <v>0.40748106784976668</v>
      </c>
      <c r="I20" s="92">
        <f>+L20/(+L18+L23)</f>
        <v>0.27246688148943787</v>
      </c>
      <c r="J20" s="93">
        <f>+M20/M27</f>
        <v>0.29284914564267994</v>
      </c>
      <c r="L20" s="100">
        <f>SUM(Y33:Y37)</f>
        <v>665.875</v>
      </c>
      <c r="M20" s="94">
        <f>+L20-F20</f>
        <v>638.49456465387721</v>
      </c>
      <c r="N20" s="4">
        <v>0.25</v>
      </c>
      <c r="O20" s="56">
        <f>+D20*N20</f>
        <v>41.186580882352942</v>
      </c>
      <c r="Q20" s="56">
        <f>+O20*4.33333</f>
        <v>178.47504653492649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0.33360945806351672</v>
      </c>
      <c r="C21" s="4">
        <v>11</v>
      </c>
      <c r="D21" s="88">
        <f>SUM(R39:R44)+SUM(V39:V44)+SUM(R59:R63)+SUM(V59:V63)</f>
        <v>256.54166666666663</v>
      </c>
      <c r="E21" s="101">
        <f>+F21/SUM(F19:F21)</f>
        <v>0.33360945806351677</v>
      </c>
      <c r="F21" s="102">
        <f>+D21*E18</f>
        <v>42.63659647918783</v>
      </c>
      <c r="G21" s="12"/>
      <c r="H21" s="99">
        <f>+L21/L18</f>
        <v>0.32655090644840512</v>
      </c>
      <c r="I21" s="92">
        <f>+L21/(+L18+L23)</f>
        <v>0.21835200245511738</v>
      </c>
      <c r="J21" s="93">
        <f>+M21/M27</f>
        <v>0.22519461002691266</v>
      </c>
      <c r="L21" s="74">
        <f>SUM(Y39:Y44,Y59:Y63)</f>
        <v>533.625</v>
      </c>
      <c r="M21" s="94">
        <f>+L21-F21</f>
        <v>490.9884035208122</v>
      </c>
      <c r="N21" s="4">
        <v>0.25</v>
      </c>
      <c r="O21" s="103">
        <f>+D21*N21</f>
        <v>64.135416666666657</v>
      </c>
      <c r="Q21" s="103">
        <f>+O21*4.33333</f>
        <v>277.91992510416662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192.2469975490196</v>
      </c>
      <c r="Q22" s="74">
        <f>SUM(Q19:Q21)</f>
        <v>833.06968188909309</v>
      </c>
      <c r="S22" s="29" t="s">
        <v>261</v>
      </c>
      <c r="T22" s="12"/>
      <c r="U22" s="106">
        <f>+I18</f>
        <v>0.66866144954222295</v>
      </c>
      <c r="V22" s="106">
        <f>+I23</f>
        <v>0.3313385504577771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22673</v>
      </c>
      <c r="E23" s="108">
        <f>+V26/D23</f>
        <v>5.9888942375064145E-3</v>
      </c>
      <c r="F23" s="109"/>
      <c r="G23" s="110"/>
      <c r="H23" s="80">
        <f>SUM(H24:H26)</f>
        <v>1</v>
      </c>
      <c r="I23" s="81">
        <f>+Z106</f>
        <v>0.3313385504577771</v>
      </c>
      <c r="J23" s="82">
        <f>+M23/M27</f>
        <v>0.30911731160965605</v>
      </c>
      <c r="L23" s="83">
        <f>Y106</f>
        <v>809.75</v>
      </c>
      <c r="M23" s="84">
        <f>SUM(M24:M26)</f>
        <v>673.96380095301697</v>
      </c>
      <c r="S23" s="29" t="s">
        <v>26</v>
      </c>
      <c r="T23" s="12"/>
      <c r="U23" s="45">
        <f>+W8*U18</f>
        <v>80.110433353138944</v>
      </c>
      <c r="V23" s="45">
        <f>(W8*V18)</f>
        <v>116.16012836205144</v>
      </c>
      <c r="W23" s="45">
        <f>+W8*W18</f>
        <v>4.0055216676569465</v>
      </c>
      <c r="X23" s="111">
        <f>SUM(U23:W23)</f>
        <v>200.27608338284733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0.5101883297313986</v>
      </c>
      <c r="C24" s="4">
        <v>10</v>
      </c>
      <c r="D24" s="112">
        <f>(SUM(R70:R79)*F70)+(SUM(V70:V79)*F70)</f>
        <v>11567.5</v>
      </c>
      <c r="E24" s="113">
        <f>+F24/SUM(F24:F26)</f>
        <v>0.5101883297313986</v>
      </c>
      <c r="F24" s="90">
        <f>+D24*E23</f>
        <v>69.276534092355448</v>
      </c>
      <c r="G24" s="12"/>
      <c r="H24" s="99">
        <f>+L24/L23</f>
        <v>0.5101883297313986</v>
      </c>
      <c r="I24" s="114">
        <f>+L24/(L18+L23)</f>
        <v>0.16904506163367602</v>
      </c>
      <c r="J24" s="93">
        <f>+M24/M27</f>
        <v>0.1577080449011907</v>
      </c>
      <c r="L24" s="56">
        <f>SUM(Y70:Y79)</f>
        <v>413.125</v>
      </c>
      <c r="M24" s="94">
        <f>+L24-F24</f>
        <v>343.84846590764454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28.067415930739728</v>
      </c>
      <c r="V24" s="45">
        <f>((+W11)*V19)</f>
        <v>0</v>
      </c>
      <c r="W24" s="45">
        <f>(+W11)*W19</f>
        <v>1.1694756637808221</v>
      </c>
      <c r="X24" s="111">
        <f>SUM(U24:W24)</f>
        <v>29.23689159452055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0.13291139240506328</v>
      </c>
      <c r="C25" s="4">
        <v>6</v>
      </c>
      <c r="D25" s="112">
        <f>(SUM(R81:R86)*F81)+(SUM(V81:V86)*F71)</f>
        <v>3013.4999999999995</v>
      </c>
      <c r="E25" s="97">
        <f>+F25/SUM(F24:F26)</f>
        <v>0.13291139240506331</v>
      </c>
      <c r="F25" s="98">
        <f>+D25*E23</f>
        <v>18.047532784725579</v>
      </c>
      <c r="H25" s="99">
        <f>+L25/L23</f>
        <v>0.13291139240506328</v>
      </c>
      <c r="I25" s="114">
        <f>+L25/(+L18+L23)</f>
        <v>4.403866809881847E-2</v>
      </c>
      <c r="J25" s="93">
        <f>+M25/M27</f>
        <v>4.1085212302549218E-2</v>
      </c>
      <c r="K25" s="12"/>
      <c r="L25" s="56">
        <f>SUM(Y81:Y86)</f>
        <v>107.62499999999999</v>
      </c>
      <c r="M25" s="94">
        <f>+L25-F25</f>
        <v>89.57746721527441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19.626070684931502</v>
      </c>
      <c r="V25" s="115">
        <f>(+W9+W10+W13)*V20</f>
        <v>19.626070684931502</v>
      </c>
      <c r="W25" s="115">
        <f>(+W9+W10+W13)*W20</f>
        <v>4.3613490410958899</v>
      </c>
      <c r="X25" s="111">
        <f>SUM(U25:W25)</f>
        <v>43.613490410958896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0.35690027786353812</v>
      </c>
      <c r="C26" s="4">
        <v>10</v>
      </c>
      <c r="D26" s="112">
        <f>(SUM(R88:R101)*F88)+(SUM(V88:V101)*F72)</f>
        <v>8092</v>
      </c>
      <c r="E26" s="101">
        <f>+F26/SUM(F24:F26)</f>
        <v>0.35690027786353817</v>
      </c>
      <c r="F26" s="102">
        <f>+D26*E23</f>
        <v>48.462132169901906</v>
      </c>
      <c r="H26" s="99">
        <f>+L26/L23</f>
        <v>0.35690027786353812</v>
      </c>
      <c r="I26" s="114">
        <f>+L26/(+L18+L23)</f>
        <v>0.11825482072528259</v>
      </c>
      <c r="J26" s="93">
        <f>+M26/M27</f>
        <v>0.11032405440591615</v>
      </c>
      <c r="K26" s="116"/>
      <c r="L26" s="103">
        <f>SUM(Y88:Y101)</f>
        <v>289</v>
      </c>
      <c r="M26" s="117">
        <f>+L26-F26</f>
        <v>240.53786783009809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127.80391996881018</v>
      </c>
      <c r="V26" s="45">
        <f>SUM(V23:V25)</f>
        <v>135.78619904698294</v>
      </c>
      <c r="W26" s="45">
        <f>SUM(W23:W25)</f>
        <v>9.536346372533659</v>
      </c>
      <c r="X26" s="111">
        <f>SUM(U26:W26)</f>
        <v>273.12646538832678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2443.875</v>
      </c>
      <c r="M27" s="122">
        <f>+M18+M23</f>
        <v>2180.2848809842071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42490</v>
      </c>
      <c r="B30" s="12"/>
      <c r="C30" s="136">
        <f>+B3</f>
        <v>42492</v>
      </c>
      <c r="D30" s="136">
        <f>+B2</f>
        <v>42496</v>
      </c>
      <c r="E30" s="137">
        <f>+C30-A30+1</f>
        <v>3</v>
      </c>
      <c r="F30" s="138">
        <f>+D30-C30</f>
        <v>4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3</v>
      </c>
      <c r="H33" s="383">
        <v>3</v>
      </c>
      <c r="I33" s="384">
        <v>5.9</v>
      </c>
      <c r="J33" s="154">
        <f>+J31</f>
        <v>0</v>
      </c>
      <c r="K33" s="12"/>
      <c r="L33" s="151">
        <f>+F30</f>
        <v>4</v>
      </c>
      <c r="M33" s="383">
        <v>3</v>
      </c>
      <c r="N33" s="384">
        <v>5.8</v>
      </c>
      <c r="O33" s="154">
        <f>+O31</f>
        <v>0</v>
      </c>
      <c r="P33" s="12"/>
      <c r="Q33" s="385">
        <f>((+H33+(I33/16))-J33)*20</f>
        <v>67.375</v>
      </c>
      <c r="R33" s="156">
        <f>+Q33/E33</f>
        <v>15.852941176470589</v>
      </c>
      <c r="S33" s="157">
        <f>(+R33/C33)/G33</f>
        <v>5.284313725490196</v>
      </c>
      <c r="T33" s="12"/>
      <c r="U33" s="385">
        <f>((+M33+(N33/16))-O33)*20</f>
        <v>67.25</v>
      </c>
      <c r="V33" s="156">
        <f>+U33/E33</f>
        <v>15.823529411764707</v>
      </c>
      <c r="W33" s="157">
        <f>(+V33/C33)/L33</f>
        <v>3.9558823529411766</v>
      </c>
      <c r="X33" s="30" t="s">
        <v>127</v>
      </c>
      <c r="Y33" s="50">
        <f>+U33+Q33</f>
        <v>134.625</v>
      </c>
      <c r="Z33" s="158">
        <f>+Y33/Y112</f>
        <v>5.5086696332668404E-2</v>
      </c>
      <c r="AA33" s="159">
        <f>((+R33+V33)/C33)/(+G33+L33)</f>
        <v>4.5252100840336142</v>
      </c>
      <c r="AB33" s="4">
        <f>IF(M33&lt;M32, (((+M33+(N33/16))-O33)*20), ((((+M33+(N33/16))-O33)-((+M32+(N32/16))-O32))*20))</f>
        <v>67.25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3</v>
      </c>
      <c r="H34" s="386">
        <v>6</v>
      </c>
      <c r="I34" s="387">
        <v>11.8</v>
      </c>
      <c r="J34" s="154">
        <f>+J33</f>
        <v>0</v>
      </c>
      <c r="K34" s="12"/>
      <c r="L34" s="151">
        <f>+L33</f>
        <v>4</v>
      </c>
      <c r="M34" s="388">
        <v>6</v>
      </c>
      <c r="N34" s="389">
        <v>15.6</v>
      </c>
      <c r="O34" s="154">
        <f>+O33</f>
        <v>0</v>
      </c>
      <c r="P34" s="12"/>
      <c r="Q34" s="165">
        <f>(((+H34+(I34/16))-J34)-((+H33+(I33/16))-J33))*20</f>
        <v>67.375</v>
      </c>
      <c r="R34" s="156">
        <f>+Q34/E34</f>
        <v>15.852941176470589</v>
      </c>
      <c r="S34" s="157">
        <f>(+R34/C34)/G34</f>
        <v>5.284313725490196</v>
      </c>
      <c r="T34" s="12"/>
      <c r="U34" s="165">
        <f t="shared" ref="U34:U37" si="1">(((+M34+(N34/16))-O34)-((+M33+(N33/16))-O33))*20</f>
        <v>72.25</v>
      </c>
      <c r="V34" s="156">
        <f>+U34/E34</f>
        <v>17</v>
      </c>
      <c r="W34" s="157">
        <f>(+V34/C34)/L34</f>
        <v>4.25</v>
      </c>
      <c r="X34" s="30" t="s">
        <v>129</v>
      </c>
      <c r="Y34" s="50">
        <f>+U34+Q34</f>
        <v>139.625</v>
      </c>
      <c r="Z34" s="158">
        <f>+Y34/TOTAL_MEASUED_INCOME</f>
        <v>5.7132627487085058E-2</v>
      </c>
      <c r="AA34" s="159">
        <f>((+R34+V34)/C34)/(+G34+L34)</f>
        <v>4.6932773109243699</v>
      </c>
      <c r="AB34" s="4">
        <f t="shared" ref="AB34:AB37" si="2">IF(M34&lt;M33, (((+M34+(N34/16))-O34)*20), ((((+M34+(N34/16))-O34)-((+M33+(N33/16))-O33))*20))</f>
        <v>72.25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3</v>
      </c>
      <c r="H35" s="386">
        <v>9</v>
      </c>
      <c r="I35" s="387">
        <v>7.1</v>
      </c>
      <c r="J35" s="154">
        <f>+J34</f>
        <v>0</v>
      </c>
      <c r="K35" s="12"/>
      <c r="L35" s="151">
        <f>+L34</f>
        <v>4</v>
      </c>
      <c r="M35" s="388">
        <v>10</v>
      </c>
      <c r="N35" s="389">
        <v>1.9</v>
      </c>
      <c r="O35" s="154">
        <f>+O34</f>
        <v>0</v>
      </c>
      <c r="P35" s="12"/>
      <c r="Q35" s="165">
        <f>(((+H35+(I35/16))-J35)-((+H34+(I34/16))-J34))*20</f>
        <v>54.125</v>
      </c>
      <c r="R35" s="156">
        <f>+Q35/E35</f>
        <v>12.735294117647058</v>
      </c>
      <c r="S35" s="157">
        <f>(+R35/C35)/G35</f>
        <v>4.2450980392156863</v>
      </c>
      <c r="T35" s="12"/>
      <c r="U35" s="165">
        <f t="shared" si="1"/>
        <v>62.875000000000014</v>
      </c>
      <c r="V35" s="156">
        <f>+U35/E35</f>
        <v>14.794117647058826</v>
      </c>
      <c r="W35" s="157">
        <f>(+V35/C35)/L35</f>
        <v>3.6985294117647065</v>
      </c>
      <c r="X35" s="30" t="s">
        <v>132</v>
      </c>
      <c r="Y35" s="50">
        <f>+U35+Q35</f>
        <v>117.00000000000001</v>
      </c>
      <c r="Z35" s="158">
        <f>+Y35/TOTAL_MEASUED_INCOME</f>
        <v>4.7874789013349704E-2</v>
      </c>
      <c r="AA35" s="159">
        <f>((+R35+V35)/C35)/(+G35+L35)</f>
        <v>3.9327731092436977</v>
      </c>
      <c r="AB35" s="4">
        <f t="shared" si="2"/>
        <v>62.875000000000014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3</v>
      </c>
      <c r="H36" s="386">
        <v>12</v>
      </c>
      <c r="I36" s="387">
        <v>13.4</v>
      </c>
      <c r="J36" s="154">
        <f>+J35</f>
        <v>0</v>
      </c>
      <c r="K36" s="12"/>
      <c r="L36" s="151">
        <f>+L35</f>
        <v>4</v>
      </c>
      <c r="M36" s="388">
        <v>12</v>
      </c>
      <c r="N36" s="389">
        <v>5.9</v>
      </c>
      <c r="O36" s="154">
        <f>+O35</f>
        <v>0</v>
      </c>
      <c r="P36" s="12"/>
      <c r="Q36" s="165">
        <f>(((+H36+(I36/16))-J36)-((+H35+(I35/16))-J35))*20</f>
        <v>67.875000000000014</v>
      </c>
      <c r="R36" s="156">
        <f>+Q36/E36</f>
        <v>19.392857142857146</v>
      </c>
      <c r="S36" s="157">
        <f>(+R36/C36)/G36</f>
        <v>6.4642857142857153</v>
      </c>
      <c r="T36" s="12"/>
      <c r="U36" s="165">
        <f t="shared" si="1"/>
        <v>45</v>
      </c>
      <c r="V36" s="156">
        <f>+U36/E36</f>
        <v>12.857142857142858</v>
      </c>
      <c r="W36" s="157">
        <f>(+V36/C36)/L36</f>
        <v>3.2142857142857144</v>
      </c>
      <c r="X36" s="30" t="s">
        <v>135</v>
      </c>
      <c r="Y36" s="50">
        <f>+U36+Q36</f>
        <v>112.87500000000001</v>
      </c>
      <c r="Z36" s="158">
        <f>+Y36/TOTAL_MEASUED_INCOME</f>
        <v>4.6186895810955968E-2</v>
      </c>
      <c r="AA36" s="159">
        <f>((+R36+V36)/C36)/(+G36+L36)</f>
        <v>4.6071428571428568</v>
      </c>
      <c r="AB36" s="4">
        <f t="shared" si="2"/>
        <v>45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3</v>
      </c>
      <c r="H37" s="386">
        <v>16</v>
      </c>
      <c r="I37" s="387">
        <v>7</v>
      </c>
      <c r="J37" s="154">
        <f>+J36</f>
        <v>0</v>
      </c>
      <c r="K37" s="12"/>
      <c r="L37" s="151">
        <f>+L36</f>
        <v>4</v>
      </c>
      <c r="M37" s="388">
        <v>16</v>
      </c>
      <c r="N37" s="389">
        <v>13.7</v>
      </c>
      <c r="O37" s="154">
        <f>+O36</f>
        <v>0</v>
      </c>
      <c r="P37" s="12"/>
      <c r="Q37" s="165">
        <f>(((+H37+(I37/16))-J37)-((+H36+(I36/16))-J36))*20</f>
        <v>72</v>
      </c>
      <c r="R37" s="156">
        <f>+Q37/E37</f>
        <v>18</v>
      </c>
      <c r="S37" s="157">
        <f>(+R37/C37)/G37</f>
        <v>6</v>
      </c>
      <c r="T37" s="12"/>
      <c r="U37" s="165">
        <f t="shared" si="1"/>
        <v>89.749999999999972</v>
      </c>
      <c r="V37" s="156">
        <f>+U37/E37</f>
        <v>22.437499999999993</v>
      </c>
      <c r="W37" s="157">
        <f>(+V37/C37)/L37</f>
        <v>5.6093749999999982</v>
      </c>
      <c r="X37" s="30" t="s">
        <v>129</v>
      </c>
      <c r="Y37" s="50">
        <f>+U37+Q37</f>
        <v>161.74999999999997</v>
      </c>
      <c r="Z37" s="158">
        <f>+Y37/TOTAL_MEASUED_INCOME</f>
        <v>6.6185872845378746E-2</v>
      </c>
      <c r="AA37" s="159">
        <f>((+R37+V37)/C37)/(+G37+L37)</f>
        <v>5.7767857142857135</v>
      </c>
      <c r="AB37" s="4">
        <f t="shared" si="2"/>
        <v>89.749999999999972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5.4556022408963587</v>
      </c>
      <c r="T38" s="12"/>
      <c r="U38" s="165"/>
      <c r="V38" s="156"/>
      <c r="W38" s="166">
        <f>AVERAGE(W33:W37)</f>
        <v>4.1456144957983199</v>
      </c>
      <c r="X38" s="30"/>
      <c r="Y38" s="50"/>
      <c r="Z38" s="167">
        <f>SUM(Y33:Y37)/TOTAL_MEASUED_INCOME</f>
        <v>0.27246688148943787</v>
      </c>
      <c r="AA38" s="168">
        <f>AVERAGE(AA33:AA37)</f>
        <v>4.7070378151260499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3</v>
      </c>
      <c r="H39" s="163"/>
      <c r="I39" s="164"/>
      <c r="J39" s="154">
        <f>+J37</f>
        <v>0</v>
      </c>
      <c r="K39" s="12"/>
      <c r="L39" s="151">
        <f>+L37</f>
        <v>4</v>
      </c>
      <c r="M39" s="388">
        <v>2</v>
      </c>
      <c r="N39" s="389">
        <v>4</v>
      </c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45</v>
      </c>
      <c r="V39" s="156">
        <f t="shared" ref="V39:V44" si="8">+U39/E39</f>
        <v>22.5</v>
      </c>
      <c r="W39" s="157">
        <f t="shared" ref="W39:W44" si="9">(+V39/C39)/L39</f>
        <v>5.625</v>
      </c>
      <c r="X39" s="30" t="s">
        <v>139</v>
      </c>
      <c r="Y39" s="50">
        <f t="shared" ref="Y39:Y44" si="10">+U39+Q39</f>
        <v>45</v>
      </c>
      <c r="Z39" s="158">
        <f t="shared" ref="Z39:Z44" si="11">+Y39/TOTAL_MEASUED_INCOME</f>
        <v>1.8413380389749885E-2</v>
      </c>
      <c r="AA39" s="159">
        <f t="shared" ref="AA39:AA44" si="12">((+R39+V39)/C39)/(+G39+L39)</f>
        <v>3.2142857142857144</v>
      </c>
      <c r="AB39" s="4">
        <f t="shared" ref="AB39:AB40" si="13">IF(M39&lt;M38, (((+M39+(N39/16))-O39)*20), ((((+M39+(N39/16))-O39)-((+M38+(N38/16))-O38))*20))</f>
        <v>45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3</v>
      </c>
      <c r="H40" s="163"/>
      <c r="I40" s="164"/>
      <c r="J40" s="154">
        <f>+J39</f>
        <v>0</v>
      </c>
      <c r="K40" s="12"/>
      <c r="L40" s="151">
        <f>+L39</f>
        <v>4</v>
      </c>
      <c r="M40" s="388">
        <v>6</v>
      </c>
      <c r="N40" s="389">
        <v>11.8</v>
      </c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89.75</v>
      </c>
      <c r="V40" s="156">
        <f t="shared" si="8"/>
        <v>44.875</v>
      </c>
      <c r="W40" s="157">
        <f t="shared" si="9"/>
        <v>11.21875</v>
      </c>
      <c r="X40" s="30" t="s">
        <v>141</v>
      </c>
      <c r="Y40" s="50">
        <f t="shared" si="10"/>
        <v>89.75</v>
      </c>
      <c r="Z40" s="158">
        <f t="shared" si="11"/>
        <v>3.6724464221778934E-2</v>
      </c>
      <c r="AA40" s="159">
        <f t="shared" si="12"/>
        <v>6.4107142857142856</v>
      </c>
      <c r="AB40" s="4">
        <f t="shared" si="13"/>
        <v>89.75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3</v>
      </c>
      <c r="H41" s="163"/>
      <c r="I41" s="164"/>
      <c r="J41" s="154">
        <f>+J40</f>
        <v>0</v>
      </c>
      <c r="K41" s="12"/>
      <c r="L41" s="151">
        <f>+L40</f>
        <v>4</v>
      </c>
      <c r="M41" s="388">
        <v>2</v>
      </c>
      <c r="N41" s="389">
        <v>15.8</v>
      </c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59.75</v>
      </c>
      <c r="V41" s="156">
        <f t="shared" si="8"/>
        <v>26.555555555555557</v>
      </c>
      <c r="W41" s="157">
        <f t="shared" si="9"/>
        <v>6.6388888888888893</v>
      </c>
      <c r="X41" s="30" t="s">
        <v>143</v>
      </c>
      <c r="Y41" s="50">
        <f t="shared" si="10"/>
        <v>59.75</v>
      </c>
      <c r="Z41" s="158">
        <f t="shared" si="11"/>
        <v>2.4448877295279014E-2</v>
      </c>
      <c r="AA41" s="159">
        <f t="shared" si="12"/>
        <v>3.7936507936507939</v>
      </c>
      <c r="AB41" s="4">
        <f>IF(M41&lt;M40, (((+M41+(N41/16))-O41)*20), ((((+M41+(N41/16))-O41)-((+M40+(N40/16))-O40))*20))</f>
        <v>59.75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3</v>
      </c>
      <c r="H42" s="163"/>
      <c r="I42" s="164"/>
      <c r="J42" s="154">
        <f>+J41</f>
        <v>0</v>
      </c>
      <c r="K42" s="12"/>
      <c r="L42" s="151">
        <f>+L41</f>
        <v>4</v>
      </c>
      <c r="M42" s="388">
        <v>6</v>
      </c>
      <c r="N42" s="389">
        <v>2.4</v>
      </c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63.250000000000014</v>
      </c>
      <c r="V42" s="156">
        <f t="shared" si="8"/>
        <v>28.111111111111118</v>
      </c>
      <c r="W42" s="157">
        <f t="shared" si="9"/>
        <v>7.0277777777777795</v>
      </c>
      <c r="X42" s="30" t="s">
        <v>145</v>
      </c>
      <c r="Y42" s="50">
        <f t="shared" si="10"/>
        <v>63.250000000000014</v>
      </c>
      <c r="Z42" s="158">
        <f t="shared" si="11"/>
        <v>2.5881029103370676E-2</v>
      </c>
      <c r="AA42" s="159">
        <f t="shared" si="12"/>
        <v>4.0158730158730167</v>
      </c>
      <c r="AB42" s="4">
        <f t="shared" ref="AB42:AB44" si="16">IF(M42&lt;M41, (((+M42+(N42/16))-O42)*20), ((((+M42+(N42/16))-O42)-((+M41+(N41/16))-O41))*20))</f>
        <v>63.250000000000014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3</v>
      </c>
      <c r="H43" s="163"/>
      <c r="I43" s="164"/>
      <c r="J43" s="154">
        <f>+J42</f>
        <v>0</v>
      </c>
      <c r="K43" s="12"/>
      <c r="L43" s="151">
        <f>+L42</f>
        <v>4</v>
      </c>
      <c r="M43" s="388">
        <v>10</v>
      </c>
      <c r="N43" s="389">
        <v>4.3</v>
      </c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82.375</v>
      </c>
      <c r="V43" s="156">
        <f t="shared" si="8"/>
        <v>36.611111111111114</v>
      </c>
      <c r="W43" s="157">
        <f t="shared" si="9"/>
        <v>9.1527777777777786</v>
      </c>
      <c r="X43" s="30" t="s">
        <v>147</v>
      </c>
      <c r="Y43" s="50">
        <f t="shared" si="10"/>
        <v>82.375</v>
      </c>
      <c r="Z43" s="158">
        <f t="shared" si="11"/>
        <v>3.3706715769014371E-2</v>
      </c>
      <c r="AA43" s="159">
        <f t="shared" si="12"/>
        <v>5.2301587301587302</v>
      </c>
      <c r="AB43" s="4">
        <f t="shared" si="16"/>
        <v>82.375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3</v>
      </c>
      <c r="H44" s="163"/>
      <c r="I44" s="164"/>
      <c r="J44" s="154">
        <f>+J43</f>
        <v>0</v>
      </c>
      <c r="K44" s="12"/>
      <c r="L44" s="151">
        <f>+L43</f>
        <v>4</v>
      </c>
      <c r="M44" s="388">
        <v>15</v>
      </c>
      <c r="N44" s="389">
        <v>4.2</v>
      </c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99.874999999999972</v>
      </c>
      <c r="V44" s="156">
        <f t="shared" si="8"/>
        <v>44.388888888888879</v>
      </c>
      <c r="W44" s="157">
        <f t="shared" si="9"/>
        <v>11.09722222222222</v>
      </c>
      <c r="X44" s="30" t="s">
        <v>149</v>
      </c>
      <c r="Y44" s="50">
        <f t="shared" si="10"/>
        <v>99.874999999999972</v>
      </c>
      <c r="Z44" s="158">
        <f t="shared" si="11"/>
        <v>4.0867474809472649E-2</v>
      </c>
      <c r="AA44" s="159">
        <f t="shared" si="12"/>
        <v>6.3412698412698401</v>
      </c>
      <c r="AB44" s="4">
        <f t="shared" si="16"/>
        <v>99.874999999999972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8.4600694444444446</v>
      </c>
      <c r="X45" s="24"/>
      <c r="Y45" s="50"/>
      <c r="Z45" s="167">
        <f>SUM(Y39:Y44)/TOTAL_MEASUED_INCOME</f>
        <v>0.18004194158866554</v>
      </c>
      <c r="AA45" s="168">
        <f>AVERAGE(AA39:AA44)</f>
        <v>4.8343253968253963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3</v>
      </c>
      <c r="H46" s="163"/>
      <c r="I46" s="164"/>
      <c r="J46" s="154">
        <f>+J44</f>
        <v>0</v>
      </c>
      <c r="K46" s="12"/>
      <c r="L46" s="151">
        <f>+L44</f>
        <v>4</v>
      </c>
      <c r="M46" s="388">
        <v>1</v>
      </c>
      <c r="N46" s="389">
        <v>5.5</v>
      </c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26.875</v>
      </c>
      <c r="V46" s="156">
        <f t="shared" ref="V46:V57" si="20">+U46/E46</f>
        <v>21.5</v>
      </c>
      <c r="W46" s="157">
        <f t="shared" ref="W46:W57" si="21">(+V46/C46)/L46</f>
        <v>5.375</v>
      </c>
      <c r="X46" s="30" t="s">
        <v>151</v>
      </c>
      <c r="Y46" s="50">
        <f t="shared" ref="Y46:Y57" si="22">+U46+Q46</f>
        <v>26.875</v>
      </c>
      <c r="Z46" s="158">
        <f t="shared" ref="Z46:Z57" si="23">+Y46/TOTAL_MEASUED_INCOME</f>
        <v>1.0996879954989514E-2</v>
      </c>
      <c r="AA46" s="159">
        <f t="shared" ref="AA46:AA57" si="24">((+R46+V46)/C46)/(+G46+L46)</f>
        <v>3.0714285714285716</v>
      </c>
      <c r="AB46" s="4">
        <f t="shared" ref="AB46:AB63" si="25">IF(M46&lt;M45, (((+M46+(N46/16))-O46)*20), ((((+M46+(N46/16))-O46)-((+M45+(N45/16))-O45))*20))</f>
        <v>26.875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3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4</v>
      </c>
      <c r="M47" s="388">
        <v>3</v>
      </c>
      <c r="N47" s="389">
        <v>0.3</v>
      </c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33.5</v>
      </c>
      <c r="V47" s="156">
        <f t="shared" si="20"/>
        <v>26.8</v>
      </c>
      <c r="W47" s="157">
        <f t="shared" si="21"/>
        <v>6.7</v>
      </c>
      <c r="X47" s="30" t="s">
        <v>153</v>
      </c>
      <c r="Y47" s="50">
        <f t="shared" si="22"/>
        <v>33.5</v>
      </c>
      <c r="Z47" s="158">
        <f t="shared" si="23"/>
        <v>1.3707738734591581E-2</v>
      </c>
      <c r="AA47" s="159">
        <f t="shared" si="24"/>
        <v>3.8285714285714287</v>
      </c>
      <c r="AB47" s="4">
        <f t="shared" si="25"/>
        <v>33.5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3</v>
      </c>
      <c r="H48" s="163"/>
      <c r="I48" s="164"/>
      <c r="J48" s="154">
        <f t="shared" si="29"/>
        <v>0</v>
      </c>
      <c r="K48" s="12"/>
      <c r="L48" s="151">
        <f t="shared" si="30"/>
        <v>4</v>
      </c>
      <c r="M48" s="388">
        <v>4</v>
      </c>
      <c r="N48" s="389">
        <v>9.6</v>
      </c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31.624999999999996</v>
      </c>
      <c r="V48" s="156">
        <f t="shared" si="20"/>
        <v>25.299999999999997</v>
      </c>
      <c r="W48" s="157">
        <f t="shared" si="21"/>
        <v>6.3249999999999993</v>
      </c>
      <c r="X48" s="30" t="s">
        <v>155</v>
      </c>
      <c r="Y48" s="50">
        <f t="shared" si="22"/>
        <v>31.624999999999996</v>
      </c>
      <c r="Z48" s="158">
        <f t="shared" si="23"/>
        <v>1.2940514551685335E-2</v>
      </c>
      <c r="AA48" s="159">
        <f t="shared" si="24"/>
        <v>3.6142857142857139</v>
      </c>
      <c r="AB48" s="4">
        <f t="shared" si="25"/>
        <v>31.624999999999996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3</v>
      </c>
      <c r="H49" s="163"/>
      <c r="I49" s="164"/>
      <c r="J49" s="154">
        <f t="shared" si="29"/>
        <v>0</v>
      </c>
      <c r="K49" s="12"/>
      <c r="L49" s="151">
        <f t="shared" si="30"/>
        <v>4</v>
      </c>
      <c r="M49" s="388">
        <v>6</v>
      </c>
      <c r="N49" s="389">
        <v>11.1</v>
      </c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41.875</v>
      </c>
      <c r="V49" s="156">
        <f t="shared" si="20"/>
        <v>33.5</v>
      </c>
      <c r="W49" s="157">
        <f t="shared" si="21"/>
        <v>8.375</v>
      </c>
      <c r="X49" s="30" t="s">
        <v>157</v>
      </c>
      <c r="Y49" s="50">
        <f t="shared" si="22"/>
        <v>41.875</v>
      </c>
      <c r="Z49" s="158">
        <f t="shared" si="23"/>
        <v>1.7134673418239477E-2</v>
      </c>
      <c r="AA49" s="159">
        <f t="shared" si="24"/>
        <v>4.7857142857142856</v>
      </c>
      <c r="AB49" s="4">
        <f t="shared" si="25"/>
        <v>41.875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3</v>
      </c>
      <c r="H50" s="163"/>
      <c r="I50" s="164"/>
      <c r="J50" s="154">
        <f t="shared" si="29"/>
        <v>0</v>
      </c>
      <c r="K50" s="12"/>
      <c r="L50" s="151">
        <f t="shared" si="30"/>
        <v>4</v>
      </c>
      <c r="M50" s="388">
        <v>8</v>
      </c>
      <c r="N50" s="389">
        <v>7.8</v>
      </c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35.875000000000021</v>
      </c>
      <c r="V50" s="156">
        <f t="shared" si="20"/>
        <v>28.700000000000017</v>
      </c>
      <c r="W50" s="157">
        <f t="shared" si="21"/>
        <v>7.1750000000000043</v>
      </c>
      <c r="X50" s="30" t="s">
        <v>159</v>
      </c>
      <c r="Y50" s="50">
        <f t="shared" si="22"/>
        <v>35.875000000000021</v>
      </c>
      <c r="Z50" s="158">
        <f t="shared" si="23"/>
        <v>1.46795560329395E-2</v>
      </c>
      <c r="AA50" s="159">
        <f t="shared" si="24"/>
        <v>4.1000000000000023</v>
      </c>
      <c r="AB50" s="4">
        <f t="shared" si="25"/>
        <v>35.875000000000021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3</v>
      </c>
      <c r="H51" s="163"/>
      <c r="I51" s="164"/>
      <c r="J51" s="154">
        <f t="shared" si="29"/>
        <v>0</v>
      </c>
      <c r="K51" s="12"/>
      <c r="L51" s="151">
        <f t="shared" si="30"/>
        <v>4</v>
      </c>
      <c r="M51" s="388">
        <v>10</v>
      </c>
      <c r="N51" s="389">
        <v>0.9</v>
      </c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31.374999999999993</v>
      </c>
      <c r="V51" s="156">
        <f t="shared" si="20"/>
        <v>25.099999999999994</v>
      </c>
      <c r="W51" s="157">
        <f t="shared" si="21"/>
        <v>6.2749999999999986</v>
      </c>
      <c r="X51" s="30" t="s">
        <v>161</v>
      </c>
      <c r="Y51" s="50">
        <f t="shared" si="22"/>
        <v>31.374999999999993</v>
      </c>
      <c r="Z51" s="158">
        <f t="shared" si="23"/>
        <v>1.28382179939645E-2</v>
      </c>
      <c r="AA51" s="159">
        <f t="shared" si="24"/>
        <v>3.585714285714285</v>
      </c>
      <c r="AB51" s="4">
        <f t="shared" si="25"/>
        <v>31.374999999999993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3</v>
      </c>
      <c r="H52" s="163"/>
      <c r="I52" s="164"/>
      <c r="J52" s="154">
        <f t="shared" si="29"/>
        <v>0</v>
      </c>
      <c r="K52" s="12"/>
      <c r="L52" s="151">
        <f t="shared" si="30"/>
        <v>4</v>
      </c>
      <c r="M52" s="388">
        <v>11</v>
      </c>
      <c r="N52" s="389">
        <v>14.9</v>
      </c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37.5</v>
      </c>
      <c r="V52" s="156">
        <f t="shared" si="20"/>
        <v>30</v>
      </c>
      <c r="W52" s="157">
        <f t="shared" si="21"/>
        <v>7.5</v>
      </c>
      <c r="X52" s="30" t="s">
        <v>163</v>
      </c>
      <c r="Y52" s="50">
        <f t="shared" si="22"/>
        <v>37.5</v>
      </c>
      <c r="Z52" s="158">
        <f t="shared" si="23"/>
        <v>1.5344483658124904E-2</v>
      </c>
      <c r="AA52" s="159">
        <f t="shared" si="24"/>
        <v>4.2857142857142856</v>
      </c>
      <c r="AB52" s="4">
        <f t="shared" si="25"/>
        <v>37.5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3</v>
      </c>
      <c r="H53" s="163"/>
      <c r="I53" s="164"/>
      <c r="J53" s="154">
        <f t="shared" si="29"/>
        <v>0</v>
      </c>
      <c r="K53" s="12"/>
      <c r="L53" s="151">
        <f t="shared" si="30"/>
        <v>4</v>
      </c>
      <c r="M53" s="388">
        <v>13</v>
      </c>
      <c r="N53" s="389">
        <v>9.1999999999999993</v>
      </c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32.874999999999979</v>
      </c>
      <c r="V53" s="156">
        <f t="shared" si="20"/>
        <v>26.299999999999983</v>
      </c>
      <c r="W53" s="157">
        <f t="shared" si="21"/>
        <v>6.5749999999999957</v>
      </c>
      <c r="X53" s="30" t="s">
        <v>165</v>
      </c>
      <c r="Y53" s="50">
        <f t="shared" si="22"/>
        <v>32.874999999999979</v>
      </c>
      <c r="Z53" s="158">
        <f t="shared" si="23"/>
        <v>1.3451997340289491E-2</v>
      </c>
      <c r="AA53" s="159">
        <f t="shared" si="24"/>
        <v>3.7571428571428549</v>
      </c>
      <c r="AB53" s="4">
        <f t="shared" si="25"/>
        <v>32.874999999999979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3</v>
      </c>
      <c r="H54" s="163"/>
      <c r="I54" s="164"/>
      <c r="J54" s="154">
        <f t="shared" si="29"/>
        <v>0</v>
      </c>
      <c r="K54" s="12"/>
      <c r="L54" s="151">
        <f t="shared" si="30"/>
        <v>4</v>
      </c>
      <c r="M54" s="388">
        <v>15</v>
      </c>
      <c r="N54" s="389">
        <v>10.8</v>
      </c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42.000000000000028</v>
      </c>
      <c r="V54" s="156">
        <f t="shared" si="20"/>
        <v>33.600000000000023</v>
      </c>
      <c r="W54" s="157">
        <f t="shared" si="21"/>
        <v>8.4000000000000057</v>
      </c>
      <c r="X54" s="30" t="s">
        <v>167</v>
      </c>
      <c r="Y54" s="50">
        <f t="shared" si="22"/>
        <v>42.000000000000028</v>
      </c>
      <c r="Z54" s="158">
        <f t="shared" si="23"/>
        <v>1.7185821697099903E-2</v>
      </c>
      <c r="AA54" s="159">
        <f t="shared" si="24"/>
        <v>4.8000000000000034</v>
      </c>
      <c r="AB54" s="4">
        <f t="shared" si="25"/>
        <v>42.000000000000028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3</v>
      </c>
      <c r="H55" s="163"/>
      <c r="I55" s="164"/>
      <c r="J55" s="154">
        <f t="shared" si="29"/>
        <v>0</v>
      </c>
      <c r="K55" s="12"/>
      <c r="L55" s="151">
        <f t="shared" si="30"/>
        <v>4</v>
      </c>
      <c r="M55" s="388">
        <v>17</v>
      </c>
      <c r="N55" s="389">
        <v>13.5</v>
      </c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43.374999999999986</v>
      </c>
      <c r="V55" s="156">
        <f t="shared" si="20"/>
        <v>34.699999999999989</v>
      </c>
      <c r="W55" s="157">
        <f t="shared" si="21"/>
        <v>8.6749999999999972</v>
      </c>
      <c r="X55" s="30" t="s">
        <v>169</v>
      </c>
      <c r="Y55" s="50">
        <f t="shared" si="22"/>
        <v>43.374999999999986</v>
      </c>
      <c r="Z55" s="158">
        <f t="shared" si="23"/>
        <v>1.7748452764564465E-2</v>
      </c>
      <c r="AA55" s="159">
        <f t="shared" si="24"/>
        <v>4.9571428571428555</v>
      </c>
      <c r="AB55" s="4">
        <f t="shared" si="25"/>
        <v>43.374999999999986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3</v>
      </c>
      <c r="H56" s="163"/>
      <c r="I56" s="164"/>
      <c r="J56" s="154">
        <f t="shared" si="29"/>
        <v>0</v>
      </c>
      <c r="K56" s="12"/>
      <c r="L56" s="151">
        <f t="shared" si="30"/>
        <v>4</v>
      </c>
      <c r="M56" s="388">
        <v>20</v>
      </c>
      <c r="N56" s="389">
        <v>6.2</v>
      </c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50.874999999999986</v>
      </c>
      <c r="V56" s="156">
        <f t="shared" si="20"/>
        <v>40.699999999999989</v>
      </c>
      <c r="W56" s="157">
        <f t="shared" si="21"/>
        <v>10.174999999999997</v>
      </c>
      <c r="X56" s="30" t="s">
        <v>171</v>
      </c>
      <c r="Y56" s="50">
        <f t="shared" si="22"/>
        <v>50.874999999999986</v>
      </c>
      <c r="Z56" s="158">
        <f t="shared" si="23"/>
        <v>2.0817349496189446E-2</v>
      </c>
      <c r="AA56" s="159">
        <f t="shared" si="24"/>
        <v>5.8142857142857123</v>
      </c>
      <c r="AB56" s="4">
        <f t="shared" si="25"/>
        <v>50.874999999999986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3</v>
      </c>
      <c r="H57" s="163"/>
      <c r="I57" s="171"/>
      <c r="J57" s="154">
        <f t="shared" si="29"/>
        <v>0</v>
      </c>
      <c r="K57" s="12"/>
      <c r="L57" s="151">
        <f t="shared" si="30"/>
        <v>4</v>
      </c>
      <c r="M57" s="388">
        <v>21</v>
      </c>
      <c r="N57" s="389">
        <v>11.7</v>
      </c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26.875</v>
      </c>
      <c r="V57" s="156">
        <f t="shared" si="20"/>
        <v>21.5</v>
      </c>
      <c r="W57" s="157">
        <f t="shared" si="21"/>
        <v>5.375</v>
      </c>
      <c r="X57" s="30" t="s">
        <v>173</v>
      </c>
      <c r="Y57" s="50">
        <f t="shared" si="22"/>
        <v>26.875</v>
      </c>
      <c r="Z57" s="158">
        <f t="shared" si="23"/>
        <v>1.0996879954989514E-2</v>
      </c>
      <c r="AA57" s="159">
        <f t="shared" si="24"/>
        <v>3.0714285714285716</v>
      </c>
      <c r="AB57" s="4">
        <f t="shared" si="25"/>
        <v>26.875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7.2437499999999995</v>
      </c>
      <c r="X58" s="24"/>
      <c r="Y58" s="50"/>
      <c r="Z58" s="167">
        <f>SUM(Y46:Y57)/TOTAL_MEASUED_INCOME</f>
        <v>0.17784256559766765</v>
      </c>
      <c r="AA58" s="168">
        <f>AVERAGE(AA46:AA57)</f>
        <v>4.1392857142857133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3</v>
      </c>
      <c r="H59" s="163"/>
      <c r="I59" s="171"/>
      <c r="J59" s="154">
        <f>+J57</f>
        <v>0</v>
      </c>
      <c r="K59" s="12"/>
      <c r="L59" s="151">
        <f>+L57</f>
        <v>4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3</v>
      </c>
      <c r="H60" s="163"/>
      <c r="I60" s="171"/>
      <c r="J60" s="154">
        <f>+J58</f>
        <v>0</v>
      </c>
      <c r="K60" s="12"/>
      <c r="L60" s="151">
        <f>+L59</f>
        <v>4</v>
      </c>
      <c r="M60" s="388">
        <v>2</v>
      </c>
      <c r="N60" s="389">
        <v>4.5999999999999996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45.75</v>
      </c>
      <c r="V60" s="156">
        <f>+U60/E60</f>
        <v>26.142857142857142</v>
      </c>
      <c r="W60" s="157">
        <f>(+V60/C60)/L60</f>
        <v>6.5357142857142856</v>
      </c>
      <c r="X60" s="30" t="s">
        <v>178</v>
      </c>
      <c r="Y60" s="50">
        <f>+U60+Q60</f>
        <v>45.75</v>
      </c>
      <c r="Z60" s="158">
        <f>+Y60/TOTAL_MEASUED_INCOME</f>
        <v>1.8720270062912384E-2</v>
      </c>
      <c r="AA60" s="159">
        <f>((+R60+V60)/C60)/(+G60+L60)</f>
        <v>3.7346938775510203</v>
      </c>
      <c r="AB60" s="4">
        <f t="shared" si="25"/>
        <v>45.75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3</v>
      </c>
      <c r="H61" s="163"/>
      <c r="I61" s="171"/>
      <c r="J61" s="154">
        <f>+J59</f>
        <v>0</v>
      </c>
      <c r="K61" s="12"/>
      <c r="L61" s="151">
        <f>+L60</f>
        <v>4</v>
      </c>
      <c r="M61" s="388">
        <v>2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>
        <f>(+V61/C61)/L61</f>
        <v>0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3</v>
      </c>
      <c r="H62" s="163"/>
      <c r="I62" s="171"/>
      <c r="J62" s="154">
        <f>+J60</f>
        <v>0</v>
      </c>
      <c r="K62" s="12"/>
      <c r="L62" s="151">
        <f>+L61</f>
        <v>4</v>
      </c>
      <c r="M62" s="388">
        <v>4</v>
      </c>
      <c r="N62" s="389">
        <v>10.9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47.875000000000007</v>
      </c>
      <c r="V62" s="156">
        <f>+U62/E62</f>
        <v>27.357142857142861</v>
      </c>
      <c r="W62" s="157">
        <f>(+V62/C62)/L62</f>
        <v>6.8392857142857153</v>
      </c>
      <c r="X62" s="30" t="s">
        <v>182</v>
      </c>
      <c r="Y62" s="50">
        <f>+U62+Q62</f>
        <v>47.875000000000007</v>
      </c>
      <c r="Z62" s="158">
        <f>+Y62/TOTAL_MEASUED_INCOME</f>
        <v>1.9589790803539463E-2</v>
      </c>
      <c r="AA62" s="159">
        <f>((+R62+V62)/C62)/(+G62+L62)</f>
        <v>3.9081632653061229</v>
      </c>
      <c r="AB62" s="4">
        <f t="shared" si="25"/>
        <v>47.875000000000007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3</v>
      </c>
      <c r="H63" s="173"/>
      <c r="I63" s="174"/>
      <c r="J63" s="154">
        <f>+J61</f>
        <v>0</v>
      </c>
      <c r="L63" s="151">
        <f>+L62</f>
        <v>4</v>
      </c>
      <c r="M63" s="393">
        <v>4</v>
      </c>
      <c r="N63" s="394">
        <v>10.9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2.6749999999999998</v>
      </c>
      <c r="X64" s="30"/>
      <c r="Y64" s="50">
        <f>SUM(Y33:Y63)</f>
        <v>1634.125</v>
      </c>
      <c r="Z64" s="167">
        <f>SUM(Y59:Y63)/TOTAL_MEASUED_INCOME</f>
        <v>3.8310060866451841E-2</v>
      </c>
      <c r="AA64" s="168">
        <f>AVERAGE(AA59:AA63)</f>
        <v>1.5285714285714287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42490</v>
      </c>
      <c r="B67" s="12"/>
      <c r="C67" s="136">
        <f>+C30</f>
        <v>42492</v>
      </c>
      <c r="D67" s="136">
        <f>+D30</f>
        <v>42496</v>
      </c>
      <c r="E67" s="137">
        <f>+C67-A67+1</f>
        <v>3</v>
      </c>
      <c r="F67" s="51">
        <f>+D67-C67</f>
        <v>4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3</v>
      </c>
      <c r="H70" s="152"/>
      <c r="I70" s="153"/>
      <c r="J70" s="154">
        <f>+J68</f>
        <v>0</v>
      </c>
      <c r="K70" s="178"/>
      <c r="L70" s="395">
        <f>+F67</f>
        <v>4</v>
      </c>
      <c r="M70" s="396">
        <v>3</v>
      </c>
      <c r="N70" s="397">
        <v>0.6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60.75</v>
      </c>
      <c r="V70" s="156">
        <f t="shared" ref="V70:V79" si="36">+U70/E70</f>
        <v>243</v>
      </c>
      <c r="W70" s="192">
        <f t="shared" ref="W70:W79" si="37">((+U70/+E70)*F70)/(L70+G70)</f>
        <v>243</v>
      </c>
      <c r="X70" s="193">
        <f>+X67*60</f>
        <v>840</v>
      </c>
      <c r="Y70" s="50">
        <f t="shared" ref="Y70:Y79" si="38">+U70+Q70</f>
        <v>60.75</v>
      </c>
      <c r="Z70" s="158">
        <f t="shared" ref="Z70:Z79" si="39">+Y70/TOTAL_MEASUED_INCOME</f>
        <v>2.4858063526162346E-2</v>
      </c>
      <c r="AA70" s="194">
        <f t="shared" ref="AA70:AA79" si="40">((+V70+R70)*F70)/(+X70*7)</f>
        <v>0.28928571428571431</v>
      </c>
      <c r="AB70" s="4">
        <f t="shared" ref="AB70:AB79" si="41">IF(M70&lt;M69, (((+M70+(N70/16))-O70)*20), ((((+M70+(N70/16))-O70)-((+M69+(N69/16))-O69))*20))</f>
        <v>60.75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3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4</v>
      </c>
      <c r="M71" s="398">
        <v>3</v>
      </c>
      <c r="N71" s="389">
        <v>14.9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17.874999999999996</v>
      </c>
      <c r="V71" s="156">
        <f t="shared" si="36"/>
        <v>71.499999999999986</v>
      </c>
      <c r="W71" s="192">
        <f t="shared" si="37"/>
        <v>71.499999999999986</v>
      </c>
      <c r="X71" s="193">
        <f t="shared" ref="X71:X79" si="48">+X70</f>
        <v>840</v>
      </c>
      <c r="Y71" s="50">
        <f t="shared" si="38"/>
        <v>17.874999999999996</v>
      </c>
      <c r="Z71" s="158">
        <f t="shared" si="39"/>
        <v>7.3142038770395365E-3</v>
      </c>
      <c r="AA71" s="194">
        <f t="shared" si="40"/>
        <v>8.5119047619047594E-2</v>
      </c>
      <c r="AB71" s="4">
        <f t="shared" si="41"/>
        <v>17.874999999999996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3</v>
      </c>
      <c r="H72" s="163"/>
      <c r="I72" s="164"/>
      <c r="J72" s="154">
        <f t="shared" si="44"/>
        <v>0</v>
      </c>
      <c r="K72" s="178"/>
      <c r="L72" s="395">
        <f t="shared" si="45"/>
        <v>4</v>
      </c>
      <c r="M72" s="398">
        <v>7</v>
      </c>
      <c r="N72" s="389">
        <v>5.0999999999999996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67.75</v>
      </c>
      <c r="V72" s="156">
        <f t="shared" si="36"/>
        <v>271</v>
      </c>
      <c r="W72" s="192">
        <f t="shared" si="37"/>
        <v>271</v>
      </c>
      <c r="X72" s="193">
        <f t="shared" si="48"/>
        <v>840</v>
      </c>
      <c r="Y72" s="50">
        <f t="shared" si="38"/>
        <v>67.75</v>
      </c>
      <c r="Z72" s="158">
        <f t="shared" si="39"/>
        <v>2.7722367142345661E-2</v>
      </c>
      <c r="AA72" s="194">
        <f t="shared" si="40"/>
        <v>0.32261904761904764</v>
      </c>
      <c r="AB72" s="4">
        <f t="shared" si="41"/>
        <v>67.75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3</v>
      </c>
      <c r="H73" s="163"/>
      <c r="I73" s="164"/>
      <c r="J73" s="154">
        <f t="shared" si="44"/>
        <v>0</v>
      </c>
      <c r="K73" s="178"/>
      <c r="L73" s="395">
        <f t="shared" si="45"/>
        <v>4</v>
      </c>
      <c r="M73" s="398">
        <v>8</v>
      </c>
      <c r="N73" s="389">
        <v>13.4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30.375000000000014</v>
      </c>
      <c r="V73" s="156">
        <f t="shared" si="36"/>
        <v>121.50000000000006</v>
      </c>
      <c r="W73" s="192">
        <f t="shared" si="37"/>
        <v>121.50000000000007</v>
      </c>
      <c r="X73" s="193">
        <f t="shared" si="48"/>
        <v>840</v>
      </c>
      <c r="Y73" s="50">
        <f t="shared" si="38"/>
        <v>30.375000000000014</v>
      </c>
      <c r="Z73" s="158">
        <f t="shared" si="39"/>
        <v>1.2429031763081178E-2</v>
      </c>
      <c r="AA73" s="194">
        <f t="shared" si="40"/>
        <v>0.14464285714285721</v>
      </c>
      <c r="AB73" s="4">
        <f t="shared" si="41"/>
        <v>30.375000000000014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3</v>
      </c>
      <c r="H74" s="163"/>
      <c r="I74" s="164"/>
      <c r="J74" s="154">
        <f t="shared" si="44"/>
        <v>0</v>
      </c>
      <c r="K74" s="178"/>
      <c r="L74" s="395">
        <f t="shared" si="45"/>
        <v>4</v>
      </c>
      <c r="M74" s="398">
        <v>11</v>
      </c>
      <c r="N74" s="389">
        <v>14.2</v>
      </c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60.999999999999979</v>
      </c>
      <c r="V74" s="156">
        <f t="shared" si="36"/>
        <v>243.99999999999991</v>
      </c>
      <c r="W74" s="192">
        <f t="shared" si="37"/>
        <v>243.99999999999991</v>
      </c>
      <c r="X74" s="193">
        <f t="shared" si="48"/>
        <v>840</v>
      </c>
      <c r="Y74" s="50">
        <f t="shared" si="38"/>
        <v>60.999999999999979</v>
      </c>
      <c r="Z74" s="158">
        <f t="shared" si="39"/>
        <v>2.4960360083883169E-2</v>
      </c>
      <c r="AA74" s="194">
        <f t="shared" si="40"/>
        <v>0.29047619047619039</v>
      </c>
      <c r="AB74" s="4">
        <f t="shared" si="41"/>
        <v>60.999999999999979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3</v>
      </c>
      <c r="H75" s="163"/>
      <c r="I75" s="164"/>
      <c r="J75" s="154">
        <f t="shared" si="44"/>
        <v>0</v>
      </c>
      <c r="K75" s="178"/>
      <c r="L75" s="395">
        <f t="shared" si="45"/>
        <v>4</v>
      </c>
      <c r="M75" s="398">
        <v>13</v>
      </c>
      <c r="N75" s="389">
        <v>2.2999999999999998</v>
      </c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25.125000000000028</v>
      </c>
      <c r="V75" s="156">
        <f t="shared" si="36"/>
        <v>100.50000000000011</v>
      </c>
      <c r="W75" s="192">
        <f t="shared" si="37"/>
        <v>100.50000000000011</v>
      </c>
      <c r="X75" s="193">
        <f t="shared" si="48"/>
        <v>840</v>
      </c>
      <c r="Y75" s="50">
        <f t="shared" si="38"/>
        <v>25.125000000000028</v>
      </c>
      <c r="Z75" s="158">
        <f t="shared" si="39"/>
        <v>1.0280804050943698E-2</v>
      </c>
      <c r="AA75" s="194">
        <f t="shared" si="40"/>
        <v>0.11964285714285727</v>
      </c>
      <c r="AB75" s="4">
        <f t="shared" si="41"/>
        <v>25.125000000000028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3</v>
      </c>
      <c r="H76" s="163"/>
      <c r="I76" s="164"/>
      <c r="J76" s="154">
        <f t="shared" si="44"/>
        <v>0</v>
      </c>
      <c r="K76" s="178"/>
      <c r="L76" s="395">
        <f t="shared" si="45"/>
        <v>4</v>
      </c>
      <c r="M76" s="398">
        <v>16</v>
      </c>
      <c r="N76" s="389">
        <v>0</v>
      </c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57.124999999999986</v>
      </c>
      <c r="V76" s="156">
        <f t="shared" si="36"/>
        <v>228.49999999999994</v>
      </c>
      <c r="W76" s="192">
        <f t="shared" si="37"/>
        <v>228.49999999999994</v>
      </c>
      <c r="X76" s="193">
        <f t="shared" si="48"/>
        <v>840</v>
      </c>
      <c r="Y76" s="50">
        <f t="shared" si="38"/>
        <v>57.124999999999986</v>
      </c>
      <c r="Z76" s="158">
        <f t="shared" si="39"/>
        <v>2.3374763439210265E-2</v>
      </c>
      <c r="AA76" s="194">
        <f t="shared" si="40"/>
        <v>0.27202380952380945</v>
      </c>
      <c r="AB76" s="4">
        <f t="shared" si="41"/>
        <v>57.124999999999986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3</v>
      </c>
      <c r="H77" s="163"/>
      <c r="I77" s="164"/>
      <c r="J77" s="154">
        <f t="shared" si="44"/>
        <v>0</v>
      </c>
      <c r="K77" s="178"/>
      <c r="L77" s="395">
        <f t="shared" si="45"/>
        <v>4</v>
      </c>
      <c r="M77" s="398">
        <v>17</v>
      </c>
      <c r="N77" s="389">
        <v>10.9</v>
      </c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33.624999999999972</v>
      </c>
      <c r="V77" s="156">
        <f t="shared" si="36"/>
        <v>134.49999999999989</v>
      </c>
      <c r="W77" s="192">
        <f t="shared" si="37"/>
        <v>134.49999999999989</v>
      </c>
      <c r="X77" s="193">
        <f t="shared" si="48"/>
        <v>840</v>
      </c>
      <c r="Y77" s="50">
        <f t="shared" si="38"/>
        <v>33.624999999999972</v>
      </c>
      <c r="Z77" s="158">
        <f t="shared" si="39"/>
        <v>1.3758887013451985E-2</v>
      </c>
      <c r="AA77" s="194">
        <f t="shared" si="40"/>
        <v>0.16011904761904749</v>
      </c>
      <c r="AB77" s="4">
        <f t="shared" si="41"/>
        <v>33.624999999999972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3</v>
      </c>
      <c r="H78" s="163"/>
      <c r="I78" s="164"/>
      <c r="J78" s="154">
        <f t="shared" si="44"/>
        <v>0</v>
      </c>
      <c r="K78" s="178"/>
      <c r="L78" s="395">
        <f t="shared" si="45"/>
        <v>4</v>
      </c>
      <c r="M78" s="398">
        <v>19</v>
      </c>
      <c r="N78" s="389">
        <v>0.6</v>
      </c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27.125000000000057</v>
      </c>
      <c r="V78" s="156">
        <f t="shared" si="36"/>
        <v>108.50000000000023</v>
      </c>
      <c r="W78" s="192">
        <f t="shared" si="37"/>
        <v>108.50000000000023</v>
      </c>
      <c r="X78" s="193">
        <f t="shared" si="48"/>
        <v>840</v>
      </c>
      <c r="Y78" s="50">
        <f t="shared" si="38"/>
        <v>27.125000000000057</v>
      </c>
      <c r="Z78" s="158">
        <f t="shared" si="39"/>
        <v>1.1099176512710371E-2</v>
      </c>
      <c r="AA78" s="194">
        <f t="shared" si="40"/>
        <v>0.12916666666666693</v>
      </c>
      <c r="AB78" s="4">
        <f t="shared" si="41"/>
        <v>27.125000000000057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3</v>
      </c>
      <c r="H79" s="163"/>
      <c r="I79" s="164"/>
      <c r="J79" s="154">
        <f t="shared" si="44"/>
        <v>0</v>
      </c>
      <c r="K79" s="178"/>
      <c r="L79" s="395">
        <f t="shared" si="45"/>
        <v>4</v>
      </c>
      <c r="M79" s="398">
        <v>20</v>
      </c>
      <c r="N79" s="389">
        <v>10.5</v>
      </c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32.374999999999972</v>
      </c>
      <c r="V79" s="156">
        <f t="shared" si="36"/>
        <v>129.49999999999989</v>
      </c>
      <c r="W79" s="192">
        <f t="shared" si="37"/>
        <v>129.49999999999989</v>
      </c>
      <c r="X79" s="193">
        <f t="shared" si="48"/>
        <v>840</v>
      </c>
      <c r="Y79" s="50">
        <f t="shared" si="38"/>
        <v>32.374999999999972</v>
      </c>
      <c r="Z79" s="158">
        <f t="shared" si="39"/>
        <v>1.3247404224847822E-2</v>
      </c>
      <c r="AA79" s="194">
        <f t="shared" si="40"/>
        <v>0.15416666666666654</v>
      </c>
      <c r="AB79" s="4">
        <f t="shared" si="41"/>
        <v>32.374999999999972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0.16904506163367602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3</v>
      </c>
      <c r="H81" s="163"/>
      <c r="I81" s="164"/>
      <c r="J81" s="154">
        <f>+J79</f>
        <v>0</v>
      </c>
      <c r="K81" s="178"/>
      <c r="L81" s="395">
        <f>+L79</f>
        <v>4</v>
      </c>
      <c r="M81" s="398">
        <v>1</v>
      </c>
      <c r="N81" s="389">
        <v>9.3000000000000007</v>
      </c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31.625</v>
      </c>
      <c r="V81" s="156">
        <f t="shared" ref="V81:V86" si="52">+U81/E81</f>
        <v>126.5</v>
      </c>
      <c r="W81" s="192">
        <f t="shared" ref="W81:W86" si="53">((+U81/+E81)*F81)/(L81+G81)</f>
        <v>135.53571428571428</v>
      </c>
      <c r="X81" s="193">
        <f>+X79</f>
        <v>840</v>
      </c>
      <c r="Y81" s="50">
        <f t="shared" ref="Y81:Y86" si="54">+U81+Q81</f>
        <v>31.625</v>
      </c>
      <c r="Z81" s="158">
        <f t="shared" ref="Z81:Z86" si="55">+Y81/TOTAL_MEASUED_INCOME</f>
        <v>1.2940514551685336E-2</v>
      </c>
      <c r="AA81" s="194">
        <f t="shared" ref="AA81:AA86" si="56">((+V81+R81)*F81)/(+X81*7)</f>
        <v>0.16135204081632654</v>
      </c>
      <c r="AB81" s="4">
        <f t="shared" ref="AB81:AB86" si="57">IF(M81&lt;M80, (((+M81+(N81/16))-O81)*20), ((((+M81+(N81/16))-O81)-((+M80+(N80/16))-O80))*20))</f>
        <v>31.625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3</v>
      </c>
      <c r="H82" s="163"/>
      <c r="I82" s="164"/>
      <c r="J82" s="154">
        <f>+J81</f>
        <v>0</v>
      </c>
      <c r="K82" s="178"/>
      <c r="L82" s="395">
        <f>+L81</f>
        <v>4</v>
      </c>
      <c r="M82" s="398">
        <v>3</v>
      </c>
      <c r="N82" s="389">
        <v>1.8</v>
      </c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30.624999999999996</v>
      </c>
      <c r="V82" s="156">
        <f t="shared" si="52"/>
        <v>122.49999999999999</v>
      </c>
      <c r="W82" s="192">
        <f t="shared" si="53"/>
        <v>131.24999999999997</v>
      </c>
      <c r="X82" s="193">
        <f>+X81</f>
        <v>840</v>
      </c>
      <c r="Y82" s="50">
        <f t="shared" si="54"/>
        <v>30.624999999999996</v>
      </c>
      <c r="Z82" s="158">
        <f t="shared" si="55"/>
        <v>1.2531328320802004E-2</v>
      </c>
      <c r="AA82" s="194">
        <f t="shared" si="56"/>
        <v>0.15624999999999997</v>
      </c>
      <c r="AB82" s="4">
        <f t="shared" si="57"/>
        <v>30.624999999999996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3</v>
      </c>
      <c r="H83" s="163"/>
      <c r="I83" s="164"/>
      <c r="J83" s="154">
        <f>+J82</f>
        <v>0</v>
      </c>
      <c r="K83" s="178"/>
      <c r="L83" s="395">
        <f>+L82</f>
        <v>4</v>
      </c>
      <c r="M83" s="398">
        <v>4</v>
      </c>
      <c r="N83" s="389">
        <v>2</v>
      </c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20.250000000000004</v>
      </c>
      <c r="V83" s="156">
        <f t="shared" si="52"/>
        <v>81.000000000000014</v>
      </c>
      <c r="W83" s="192">
        <f t="shared" si="53"/>
        <v>86.785714285714306</v>
      </c>
      <c r="X83" s="193">
        <f>+X82</f>
        <v>840</v>
      </c>
      <c r="Y83" s="50">
        <f t="shared" si="54"/>
        <v>20.250000000000004</v>
      </c>
      <c r="Z83" s="158">
        <f t="shared" si="55"/>
        <v>8.2860211753874504E-3</v>
      </c>
      <c r="AA83" s="194">
        <f t="shared" si="56"/>
        <v>0.10331632653061226</v>
      </c>
      <c r="AB83" s="4">
        <f t="shared" si="57"/>
        <v>20.250000000000004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3</v>
      </c>
      <c r="H84" s="163"/>
      <c r="I84" s="164"/>
      <c r="J84" s="154">
        <f>+J83</f>
        <v>0</v>
      </c>
      <c r="K84" s="178"/>
      <c r="L84" s="395">
        <f>+L83</f>
        <v>4</v>
      </c>
      <c r="M84" s="398">
        <v>4</v>
      </c>
      <c r="N84" s="389">
        <v>2</v>
      </c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3</v>
      </c>
      <c r="H85" s="163"/>
      <c r="I85" s="164"/>
      <c r="J85" s="154">
        <f>+J84</f>
        <v>0</v>
      </c>
      <c r="K85" s="178"/>
      <c r="L85" s="395">
        <f>+L84</f>
        <v>4</v>
      </c>
      <c r="M85" s="398">
        <v>4</v>
      </c>
      <c r="N85" s="389">
        <v>13.9</v>
      </c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14.875000000000007</v>
      </c>
      <c r="V85" s="156">
        <f t="shared" si="52"/>
        <v>59.500000000000028</v>
      </c>
      <c r="W85" s="192">
        <f t="shared" si="53"/>
        <v>63.750000000000036</v>
      </c>
      <c r="X85" s="193">
        <f>+X84</f>
        <v>840</v>
      </c>
      <c r="Y85" s="50">
        <f t="shared" si="54"/>
        <v>14.875000000000007</v>
      </c>
      <c r="Z85" s="158">
        <f t="shared" si="55"/>
        <v>6.0866451843895478E-3</v>
      </c>
      <c r="AA85" s="194">
        <f t="shared" si="56"/>
        <v>7.5892857142857179E-2</v>
      </c>
      <c r="AB85" s="4">
        <f t="shared" si="57"/>
        <v>14.875000000000007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3</v>
      </c>
      <c r="H86" s="163"/>
      <c r="I86" s="164"/>
      <c r="J86" s="154">
        <f>+J85</f>
        <v>0</v>
      </c>
      <c r="K86" s="178"/>
      <c r="L86" s="395">
        <f>+L85</f>
        <v>4</v>
      </c>
      <c r="M86" s="398">
        <v>5</v>
      </c>
      <c r="N86" s="389">
        <v>6.1</v>
      </c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10.249999999999986</v>
      </c>
      <c r="V86" s="156">
        <f t="shared" si="52"/>
        <v>40.999999999999943</v>
      </c>
      <c r="W86" s="192">
        <f t="shared" si="53"/>
        <v>43.928571428571367</v>
      </c>
      <c r="X86" s="193">
        <f>+X85</f>
        <v>840</v>
      </c>
      <c r="Y86" s="50">
        <f t="shared" si="54"/>
        <v>10.249999999999986</v>
      </c>
      <c r="Z86" s="158">
        <f t="shared" si="55"/>
        <v>4.1941588665541348E-3</v>
      </c>
      <c r="AA86" s="194">
        <f t="shared" si="56"/>
        <v>5.2295918367346858E-2</v>
      </c>
      <c r="AB86" s="4">
        <f t="shared" si="57"/>
        <v>10.249999999999986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4.403866809881847E-2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3</v>
      </c>
      <c r="H88" s="163"/>
      <c r="I88" s="164"/>
      <c r="J88" s="154">
        <f>+J86</f>
        <v>0</v>
      </c>
      <c r="K88" s="178"/>
      <c r="L88" s="395">
        <f>+L86</f>
        <v>4</v>
      </c>
      <c r="M88" s="398">
        <v>2</v>
      </c>
      <c r="N88" s="389">
        <v>7.7</v>
      </c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49.625</v>
      </c>
      <c r="V88" s="156">
        <f t="shared" ref="V88:V101" si="61">+U88/E88</f>
        <v>198.5</v>
      </c>
      <c r="W88" s="192">
        <f t="shared" ref="W88:W101" si="62">((+U88/+E88)*F88)/(L88+G88)</f>
        <v>198.5</v>
      </c>
      <c r="X88" s="193">
        <f>+X86</f>
        <v>840</v>
      </c>
      <c r="Y88" s="50">
        <f t="shared" ref="Y88:Y101" si="63">+U88+Q88</f>
        <v>49.625</v>
      </c>
      <c r="Z88" s="158">
        <f t="shared" ref="Z88:Z101" si="64">+Y88/TOTAL_MEASUED_INCOME</f>
        <v>2.0305866707585291E-2</v>
      </c>
      <c r="AA88" s="194">
        <f t="shared" ref="AA88:AA101" si="65">((+V88+R88)*F88)/(+X88*7)</f>
        <v>0.2363095238095238</v>
      </c>
      <c r="AB88" s="4">
        <f t="shared" ref="AB88:AB101" si="66">IF(M88&lt;M87, (((+M88+(N88/16))-O88)*20), ((((+M88+(N88/16))-O88)-((+M87+(N87/16))-O87))*20))</f>
        <v>49.625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3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4</v>
      </c>
      <c r="M89" s="398">
        <v>3</v>
      </c>
      <c r="N89" s="389">
        <v>15.4</v>
      </c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29.624999999999993</v>
      </c>
      <c r="V89" s="156">
        <f t="shared" si="61"/>
        <v>118.49999999999997</v>
      </c>
      <c r="W89" s="192">
        <f t="shared" si="62"/>
        <v>118.49999999999997</v>
      </c>
      <c r="X89" s="193">
        <f t="shared" ref="X89:X101" si="72">+X88</f>
        <v>840</v>
      </c>
      <c r="Y89" s="50">
        <f t="shared" si="63"/>
        <v>29.624999999999993</v>
      </c>
      <c r="Z89" s="158">
        <f t="shared" si="64"/>
        <v>1.2122142089918672E-2</v>
      </c>
      <c r="AA89" s="194">
        <f t="shared" si="65"/>
        <v>0.14107142857142854</v>
      </c>
      <c r="AB89" s="4">
        <f t="shared" si="66"/>
        <v>29.624999999999993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3</v>
      </c>
      <c r="H90" s="163"/>
      <c r="I90" s="164"/>
      <c r="J90" s="154">
        <f t="shared" si="69"/>
        <v>0</v>
      </c>
      <c r="K90" s="178"/>
      <c r="L90" s="395">
        <f t="shared" si="70"/>
        <v>4</v>
      </c>
      <c r="M90" s="398">
        <v>6</v>
      </c>
      <c r="N90" s="389">
        <v>8.1</v>
      </c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50.874999999999993</v>
      </c>
      <c r="V90" s="156">
        <f t="shared" si="61"/>
        <v>203.49999999999997</v>
      </c>
      <c r="W90" s="192">
        <f t="shared" si="62"/>
        <v>203.49999999999997</v>
      </c>
      <c r="X90" s="193">
        <f t="shared" si="72"/>
        <v>840</v>
      </c>
      <c r="Y90" s="50">
        <f t="shared" si="63"/>
        <v>50.874999999999993</v>
      </c>
      <c r="Z90" s="158">
        <f t="shared" si="64"/>
        <v>2.081734949618945E-2</v>
      </c>
      <c r="AA90" s="194">
        <f t="shared" si="65"/>
        <v>0.24226190476190473</v>
      </c>
      <c r="AB90" s="4">
        <f t="shared" si="66"/>
        <v>50.874999999999993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3</v>
      </c>
      <c r="H91" s="163"/>
      <c r="I91" s="164"/>
      <c r="J91" s="154">
        <f t="shared" si="69"/>
        <v>0</v>
      </c>
      <c r="K91" s="178"/>
      <c r="L91" s="395">
        <f t="shared" si="70"/>
        <v>4</v>
      </c>
      <c r="M91" s="398">
        <v>7</v>
      </c>
      <c r="N91" s="389">
        <v>1.7</v>
      </c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12.000000000000011</v>
      </c>
      <c r="V91" s="156">
        <f t="shared" si="61"/>
        <v>48.000000000000043</v>
      </c>
      <c r="W91" s="192">
        <f t="shared" si="62"/>
        <v>48.000000000000043</v>
      </c>
      <c r="X91" s="193">
        <f t="shared" si="72"/>
        <v>840</v>
      </c>
      <c r="Y91" s="50">
        <f t="shared" si="63"/>
        <v>12.000000000000011</v>
      </c>
      <c r="Z91" s="158">
        <f t="shared" si="64"/>
        <v>4.9102347705999739E-3</v>
      </c>
      <c r="AA91" s="194">
        <f t="shared" si="65"/>
        <v>5.714285714285719E-2</v>
      </c>
      <c r="AB91" s="4">
        <f t="shared" si="66"/>
        <v>12.000000000000011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3</v>
      </c>
      <c r="H92" s="163"/>
      <c r="I92" s="164"/>
      <c r="J92" s="154">
        <f t="shared" si="69"/>
        <v>0</v>
      </c>
      <c r="K92" s="178"/>
      <c r="L92" s="395">
        <f t="shared" si="70"/>
        <v>4</v>
      </c>
      <c r="M92" s="398">
        <v>9</v>
      </c>
      <c r="N92" s="389">
        <v>5.8</v>
      </c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45.125000000000014</v>
      </c>
      <c r="V92" s="156">
        <f t="shared" si="61"/>
        <v>180.50000000000006</v>
      </c>
      <c r="W92" s="192">
        <f t="shared" si="62"/>
        <v>180.50000000000006</v>
      </c>
      <c r="X92" s="193">
        <f t="shared" si="72"/>
        <v>840</v>
      </c>
      <c r="Y92" s="50">
        <f t="shared" si="63"/>
        <v>45.125000000000014</v>
      </c>
      <c r="Z92" s="158">
        <f t="shared" si="64"/>
        <v>1.8464528668610307E-2</v>
      </c>
      <c r="AA92" s="194">
        <f t="shared" si="65"/>
        <v>0.21488095238095245</v>
      </c>
      <c r="AB92" s="4">
        <f t="shared" si="66"/>
        <v>45.125000000000014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3</v>
      </c>
      <c r="H93" s="163"/>
      <c r="I93" s="164"/>
      <c r="J93" s="154">
        <f t="shared" si="69"/>
        <v>0</v>
      </c>
      <c r="K93" s="178"/>
      <c r="L93" s="395">
        <f t="shared" si="70"/>
        <v>4</v>
      </c>
      <c r="M93" s="398">
        <v>10</v>
      </c>
      <c r="N93" s="389">
        <v>11.3</v>
      </c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26.875</v>
      </c>
      <c r="V93" s="156">
        <f t="shared" si="61"/>
        <v>107.5</v>
      </c>
      <c r="W93" s="192">
        <f t="shared" si="62"/>
        <v>107.5</v>
      </c>
      <c r="X93" s="193">
        <f t="shared" si="72"/>
        <v>840</v>
      </c>
      <c r="Y93" s="50">
        <f t="shared" si="63"/>
        <v>26.875</v>
      </c>
      <c r="Z93" s="158">
        <f t="shared" si="64"/>
        <v>1.0996879954989514E-2</v>
      </c>
      <c r="AA93" s="194">
        <f t="shared" si="65"/>
        <v>0.12797619047619047</v>
      </c>
      <c r="AB93" s="4">
        <f t="shared" si="66"/>
        <v>26.875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3</v>
      </c>
      <c r="H94" s="163"/>
      <c r="I94" s="164"/>
      <c r="J94" s="154">
        <f t="shared" si="69"/>
        <v>0</v>
      </c>
      <c r="K94" s="178"/>
      <c r="L94" s="395">
        <f t="shared" si="70"/>
        <v>4</v>
      </c>
      <c r="M94" s="398">
        <v>11</v>
      </c>
      <c r="N94" s="389">
        <v>12.1</v>
      </c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20.999999999999979</v>
      </c>
      <c r="V94" s="156">
        <f>+U94/E94</f>
        <v>83.999999999999915</v>
      </c>
      <c r="W94" s="192">
        <f>((+U94/+E94)*F94)/(L94+G94)</f>
        <v>83.999999999999915</v>
      </c>
      <c r="X94" s="193">
        <f t="shared" si="72"/>
        <v>840</v>
      </c>
      <c r="Y94" s="50">
        <f>+U94+Q94</f>
        <v>20.999999999999979</v>
      </c>
      <c r="Z94" s="158">
        <f t="shared" si="64"/>
        <v>8.5929108485499374E-3</v>
      </c>
      <c r="AA94" s="194">
        <f t="shared" si="65"/>
        <v>9.9999999999999908E-2</v>
      </c>
      <c r="AB94" s="4">
        <f t="shared" si="66"/>
        <v>20.999999999999979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3</v>
      </c>
      <c r="H95" s="163"/>
      <c r="I95" s="164"/>
      <c r="J95" s="154">
        <f t="shared" si="69"/>
        <v>0</v>
      </c>
      <c r="K95" s="178"/>
      <c r="L95" s="395">
        <f t="shared" si="70"/>
        <v>4</v>
      </c>
      <c r="M95" s="398">
        <v>12</v>
      </c>
      <c r="N95" s="389">
        <v>12.3</v>
      </c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20.250000000000021</v>
      </c>
      <c r="V95" s="156">
        <f>+U95/E95</f>
        <v>81.000000000000085</v>
      </c>
      <c r="W95" s="192">
        <f>((+U95/+E95)*F95)/(L95+G95)</f>
        <v>81.000000000000085</v>
      </c>
      <c r="X95" s="193">
        <f t="shared" si="72"/>
        <v>840</v>
      </c>
      <c r="Y95" s="50">
        <f>+U95+Q95</f>
        <v>20.250000000000021</v>
      </c>
      <c r="Z95" s="158">
        <f t="shared" si="64"/>
        <v>8.2860211753874573E-3</v>
      </c>
      <c r="AA95" s="194">
        <f t="shared" si="65"/>
        <v>9.642857142857153E-2</v>
      </c>
      <c r="AB95" s="4">
        <f t="shared" si="66"/>
        <v>20.250000000000021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3</v>
      </c>
      <c r="H96" s="163"/>
      <c r="I96" s="164"/>
      <c r="J96" s="154">
        <f t="shared" si="69"/>
        <v>0</v>
      </c>
      <c r="K96" s="178"/>
      <c r="L96" s="395">
        <f t="shared" si="70"/>
        <v>4</v>
      </c>
      <c r="M96" s="398">
        <v>13</v>
      </c>
      <c r="N96" s="389">
        <v>6.8</v>
      </c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13.125</v>
      </c>
      <c r="V96" s="156">
        <f t="shared" si="61"/>
        <v>52.5</v>
      </c>
      <c r="W96" s="192">
        <f t="shared" si="62"/>
        <v>56.25</v>
      </c>
      <c r="X96" s="193">
        <f t="shared" si="72"/>
        <v>840</v>
      </c>
      <c r="Y96" s="50">
        <f t="shared" si="63"/>
        <v>13.125</v>
      </c>
      <c r="Z96" s="158">
        <f t="shared" si="64"/>
        <v>5.3705692803437165E-3</v>
      </c>
      <c r="AA96" s="194">
        <f t="shared" si="65"/>
        <v>6.6964285714285712E-2</v>
      </c>
      <c r="AB96" s="4">
        <f t="shared" si="66"/>
        <v>13.125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3</v>
      </c>
      <c r="H97" s="163"/>
      <c r="I97" s="164"/>
      <c r="J97" s="154">
        <f t="shared" si="69"/>
        <v>0</v>
      </c>
      <c r="K97" s="178"/>
      <c r="L97" s="395">
        <f t="shared" si="70"/>
        <v>4</v>
      </c>
      <c r="M97" s="398">
        <v>14</v>
      </c>
      <c r="N97" s="389">
        <v>2.1</v>
      </c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14.124999999999979</v>
      </c>
      <c r="V97" s="156">
        <f t="shared" si="61"/>
        <v>56.499999999999915</v>
      </c>
      <c r="W97" s="192">
        <f t="shared" si="62"/>
        <v>60.535714285714199</v>
      </c>
      <c r="X97" s="193">
        <f t="shared" si="72"/>
        <v>840</v>
      </c>
      <c r="Y97" s="50">
        <f t="shared" si="63"/>
        <v>14.124999999999979</v>
      </c>
      <c r="Z97" s="158">
        <f t="shared" si="64"/>
        <v>5.7797555112270383E-3</v>
      </c>
      <c r="AA97" s="194">
        <f t="shared" si="65"/>
        <v>7.2066326530612138E-2</v>
      </c>
      <c r="AB97" s="4">
        <f t="shared" si="66"/>
        <v>14.124999999999979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3</v>
      </c>
      <c r="H98" s="163"/>
      <c r="I98" s="164"/>
      <c r="J98" s="154">
        <f t="shared" si="69"/>
        <v>0</v>
      </c>
      <c r="K98" s="178"/>
      <c r="L98" s="395">
        <f t="shared" si="70"/>
        <v>4</v>
      </c>
      <c r="M98" s="398">
        <v>14</v>
      </c>
      <c r="N98" s="389">
        <v>2.1</v>
      </c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3</v>
      </c>
      <c r="H99" s="163"/>
      <c r="I99" s="164"/>
      <c r="J99" s="154">
        <f t="shared" si="69"/>
        <v>0</v>
      </c>
      <c r="K99" s="178"/>
      <c r="L99" s="395">
        <f t="shared" si="70"/>
        <v>4</v>
      </c>
      <c r="M99" s="398">
        <v>14</v>
      </c>
      <c r="N99" s="389">
        <v>2.1</v>
      </c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3</v>
      </c>
      <c r="H100" s="163"/>
      <c r="I100" s="164"/>
      <c r="J100" s="154">
        <f t="shared" si="69"/>
        <v>0</v>
      </c>
      <c r="K100" s="178"/>
      <c r="L100" s="395">
        <f t="shared" si="70"/>
        <v>4</v>
      </c>
      <c r="M100" s="398">
        <v>14</v>
      </c>
      <c r="N100" s="389">
        <v>7.2</v>
      </c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6.3749999999999929</v>
      </c>
      <c r="V100" s="156">
        <f t="shared" si="61"/>
        <v>25.499999999999972</v>
      </c>
      <c r="W100" s="192">
        <f t="shared" si="62"/>
        <v>27.321428571428537</v>
      </c>
      <c r="X100" s="193">
        <f t="shared" si="72"/>
        <v>840</v>
      </c>
      <c r="Y100" s="50">
        <f t="shared" si="63"/>
        <v>6.3749999999999929</v>
      </c>
      <c r="Z100" s="158">
        <f t="shared" si="64"/>
        <v>2.6085622218812309E-3</v>
      </c>
      <c r="AA100" s="194">
        <f t="shared" si="65"/>
        <v>3.2525510204081592E-2</v>
      </c>
      <c r="AB100" s="4">
        <f t="shared" si="66"/>
        <v>6.3749999999999929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3</v>
      </c>
      <c r="H101" s="173"/>
      <c r="I101" s="203"/>
      <c r="J101" s="154">
        <f t="shared" si="69"/>
        <v>0</v>
      </c>
      <c r="K101" s="178"/>
      <c r="L101" s="395">
        <f t="shared" si="70"/>
        <v>4</v>
      </c>
      <c r="M101" s="393">
        <v>14</v>
      </c>
      <c r="N101" s="394">
        <v>7.2</v>
      </c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22955.5</v>
      </c>
      <c r="X102" s="64"/>
      <c r="Y102" s="211">
        <f>SUM(Y70:Y101)</f>
        <v>809.75</v>
      </c>
      <c r="Z102" s="212">
        <f>SUM(Y88:Y101)/TOTAL_MEASUED_INCOME</f>
        <v>0.11825482072528259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42492</v>
      </c>
      <c r="K103" s="19"/>
      <c r="L103" s="19"/>
      <c r="M103" s="19"/>
      <c r="N103" s="132" t="s">
        <v>195</v>
      </c>
      <c r="O103" s="403">
        <f>+D30</f>
        <v>42496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328.75</v>
      </c>
      <c r="N104" s="30" t="s">
        <v>199</v>
      </c>
      <c r="O104" s="266">
        <f>SUM(U33:U63)</f>
        <v>1305.375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1258.1962569169643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809.75</v>
      </c>
      <c r="U105" s="29"/>
      <c r="W105" s="45"/>
      <c r="X105" s="30" t="s">
        <v>199</v>
      </c>
      <c r="Y105" s="71">
        <f>+O104+J104</f>
        <v>1634.125</v>
      </c>
      <c r="Z105" s="228">
        <f>+Y105/Y112</f>
        <v>0.66866144954222295</v>
      </c>
      <c r="AA105" s="407"/>
    </row>
    <row r="106" spans="1:29" s="12" customFormat="1" ht="14.25" thickBot="1" x14ac:dyDescent="0.3">
      <c r="A106" s="405" t="s">
        <v>200</v>
      </c>
      <c r="B106" s="45">
        <f>+Y14</f>
        <v>7304.5343978449419</v>
      </c>
      <c r="C106" s="220"/>
      <c r="H106" s="408"/>
      <c r="I106" s="409"/>
      <c r="J106" s="409">
        <f>SUM(J104:J105)</f>
        <v>328.75</v>
      </c>
      <c r="K106" s="61"/>
      <c r="L106" s="61"/>
      <c r="M106" s="61"/>
      <c r="N106" s="61"/>
      <c r="O106" s="410">
        <f>SUM(O104:O105)</f>
        <v>2115.125</v>
      </c>
      <c r="U106" s="29"/>
      <c r="W106" s="45"/>
      <c r="X106" s="64" t="s">
        <v>201</v>
      </c>
      <c r="Y106" s="66">
        <f>+O105+J105</f>
        <v>809.75</v>
      </c>
      <c r="Z106" s="232">
        <f>+Y106/Y112</f>
        <v>0.3313385504577771</v>
      </c>
      <c r="AA106" s="411"/>
    </row>
    <row r="107" spans="1:29" s="12" customFormat="1" ht="14.25" thickBot="1" x14ac:dyDescent="0.3">
      <c r="A107" s="405" t="s">
        <v>266</v>
      </c>
      <c r="B107" s="45">
        <f>+Y112</f>
        <v>2443.875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2443.875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2430.875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0.3313385504577771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0.11848293989771744</v>
      </c>
      <c r="C110" s="220"/>
      <c r="J110" s="29"/>
      <c r="K110" s="12">
        <f>+M110-L110</f>
        <v>0</v>
      </c>
      <c r="L110" s="224">
        <v>216</v>
      </c>
      <c r="M110" s="423">
        <f>+U114</f>
        <v>216</v>
      </c>
      <c r="N110" s="424">
        <f>+M110*1</f>
        <v>216</v>
      </c>
      <c r="O110" s="29"/>
      <c r="P110" s="12">
        <f>+R110-Q110</f>
        <v>0</v>
      </c>
      <c r="Q110" s="256">
        <v>187</v>
      </c>
      <c r="R110" s="423">
        <f>+V114</f>
        <v>187</v>
      </c>
      <c r="S110" s="424">
        <f>+R110*1</f>
        <v>187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0</v>
      </c>
      <c r="L111" s="224">
        <v>79</v>
      </c>
      <c r="M111" s="423">
        <f>+U115</f>
        <v>79</v>
      </c>
      <c r="N111" s="424">
        <f>+M111*5</f>
        <v>395</v>
      </c>
      <c r="O111" s="29"/>
      <c r="P111" s="12">
        <f>+R111-Q111</f>
        <v>0</v>
      </c>
      <c r="Q111" s="256">
        <v>48</v>
      </c>
      <c r="R111" s="423">
        <f>+V115</f>
        <v>48</v>
      </c>
      <c r="S111" s="424">
        <f>+R111*5</f>
        <v>240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0</v>
      </c>
      <c r="L112" s="224">
        <v>28</v>
      </c>
      <c r="M112" s="423">
        <f>+U116</f>
        <v>28</v>
      </c>
      <c r="N112" s="424">
        <f>+M112*10</f>
        <v>280</v>
      </c>
      <c r="O112" s="29"/>
      <c r="P112" s="12">
        <f>+R112-Q112</f>
        <v>0</v>
      </c>
      <c r="Q112" s="256">
        <v>8</v>
      </c>
      <c r="R112" s="423">
        <f>+V116</f>
        <v>8</v>
      </c>
      <c r="S112" s="424">
        <f>+R112*10</f>
        <v>80</v>
      </c>
      <c r="U112" s="29"/>
      <c r="X112" s="249" t="s">
        <v>239</v>
      </c>
      <c r="Y112" s="180">
        <f>+Y107+Y110</f>
        <v>2443.875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0</v>
      </c>
      <c r="L113" s="256">
        <v>26</v>
      </c>
      <c r="M113" s="426">
        <f>+U117</f>
        <v>26</v>
      </c>
      <c r="N113" s="427">
        <f>+M113*20</f>
        <v>520</v>
      </c>
      <c r="O113" s="29"/>
      <c r="P113" s="12">
        <f>+R113-Q113</f>
        <v>0</v>
      </c>
      <c r="Q113" s="256">
        <v>24</v>
      </c>
      <c r="R113" s="423">
        <f>+V117</f>
        <v>24</v>
      </c>
      <c r="S113" s="424">
        <f>+R113*20</f>
        <v>480</v>
      </c>
      <c r="U113" s="405" t="s">
        <v>272</v>
      </c>
      <c r="V113" s="28" t="s">
        <v>273</v>
      </c>
      <c r="Y113" s="45">
        <f>+Y112</f>
        <v>2443.875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0</v>
      </c>
      <c r="K114" s="12" t="s">
        <v>274</v>
      </c>
      <c r="L114" s="430">
        <f>+L110*1+L111*5+L112*10+L113*20</f>
        <v>1411</v>
      </c>
      <c r="M114" s="431"/>
      <c r="N114" s="432">
        <f>SUM(N110:N113)</f>
        <v>1411</v>
      </c>
      <c r="O114" s="429">
        <f>+S114-Q114</f>
        <v>0</v>
      </c>
      <c r="P114" s="12" t="s">
        <v>274</v>
      </c>
      <c r="Q114" s="433">
        <f>+Q110*1+Q111*5+Q112*10+Q113*20</f>
        <v>987</v>
      </c>
      <c r="R114" s="434"/>
      <c r="S114" s="435">
        <f>SUM(S110:S113)</f>
        <v>987</v>
      </c>
      <c r="T114" s="436"/>
      <c r="U114" s="437">
        <v>216</v>
      </c>
      <c r="V114" s="438">
        <v>187</v>
      </c>
      <c r="W114" s="252">
        <f>SUM(U114:V114)</f>
        <v>403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79</v>
      </c>
      <c r="V115" s="438">
        <v>48</v>
      </c>
      <c r="W115" s="252">
        <f>(+U115+V115)*5</f>
        <v>635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-704</v>
      </c>
      <c r="K116" s="12" t="s">
        <v>274</v>
      </c>
      <c r="L116" s="441">
        <f>+L110*2+L111*10+L112*20+L113*40</f>
        <v>2822</v>
      </c>
      <c r="M116" s="431">
        <v>2118</v>
      </c>
      <c r="N116" s="442">
        <v>2118</v>
      </c>
      <c r="O116" s="29">
        <f>+R116-Q116</f>
        <v>-144</v>
      </c>
      <c r="P116" s="12" t="s">
        <v>274</v>
      </c>
      <c r="Q116" s="441">
        <f>+Q110*2+Q111*10+Q112*20+Q113*40</f>
        <v>1974</v>
      </c>
      <c r="R116" s="431">
        <v>1830</v>
      </c>
      <c r="S116" s="442">
        <v>1830</v>
      </c>
      <c r="T116" s="436"/>
      <c r="U116" s="437">
        <v>28</v>
      </c>
      <c r="V116" s="438">
        <v>8</v>
      </c>
      <c r="W116" s="252">
        <f>(+U116+V116)*10</f>
        <v>360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-176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-36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26</v>
      </c>
      <c r="V117" s="438">
        <v>24</v>
      </c>
      <c r="W117" s="260">
        <f>(+U117+V117)*20</f>
        <v>1000</v>
      </c>
      <c r="X117" s="446">
        <v>1</v>
      </c>
      <c r="Y117" s="447">
        <v>10.3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-704</v>
      </c>
      <c r="K118" s="12" t="s">
        <v>274</v>
      </c>
      <c r="L118" s="441">
        <f>+L116</f>
        <v>2822</v>
      </c>
      <c r="M118" s="251"/>
      <c r="N118" s="261">
        <f>+M117+N117</f>
        <v>1059</v>
      </c>
      <c r="O118" s="29">
        <f>+S116-Q118</f>
        <v>-144</v>
      </c>
      <c r="P118" s="12" t="s">
        <v>274</v>
      </c>
      <c r="Q118" s="441">
        <f>+Q116</f>
        <v>1974</v>
      </c>
      <c r="R118" s="450"/>
      <c r="S118" s="451">
        <f>+R117+S117</f>
        <v>915</v>
      </c>
      <c r="U118" s="452"/>
      <c r="V118" s="453"/>
      <c r="W118" s="45">
        <f>SUM(W114:W117)</f>
        <v>2398</v>
      </c>
      <c r="Y118" s="48">
        <f>((+X117+(Y117/16)))*20</f>
        <v>32.875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-176</v>
      </c>
      <c r="L119" s="454" t="s">
        <v>222</v>
      </c>
      <c r="M119" s="309"/>
      <c r="N119" s="420"/>
      <c r="O119" s="444">
        <f>+O118*0.25</f>
        <v>-36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2398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2822</v>
      </c>
      <c r="V120" s="457">
        <f>+S114*2</f>
        <v>1974</v>
      </c>
      <c r="W120" s="255">
        <f>+W118*2</f>
        <v>4796</v>
      </c>
      <c r="Y120" s="269">
        <f>SUM(Y118:Y119)</f>
        <v>2430.875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4796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-352</v>
      </c>
      <c r="K122" s="463"/>
      <c r="L122" s="464">
        <f>+L118/4</f>
        <v>705.5</v>
      </c>
      <c r="M122" s="57">
        <f>+L120+L122</f>
        <v>1411</v>
      </c>
      <c r="N122" s="465">
        <f>+N118-M122</f>
        <v>-352</v>
      </c>
      <c r="O122" s="462">
        <f>+O117+O119</f>
        <v>-72</v>
      </c>
      <c r="P122" s="463"/>
      <c r="Q122" s="464">
        <f>+Q118/4</f>
        <v>493.5</v>
      </c>
      <c r="R122" s="57">
        <f>+Q120+Q122</f>
        <v>987</v>
      </c>
      <c r="S122" s="465">
        <f>+S118-R122</f>
        <v>-72</v>
      </c>
      <c r="U122" s="60"/>
      <c r="V122" s="61"/>
      <c r="W122" s="287" t="s">
        <v>226</v>
      </c>
      <c r="X122" s="288"/>
      <c r="Y122" s="289">
        <f>-(+Y112-Y120)</f>
        <v>-13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75">((+R126+(S126/16))-T126)*20</f>
        <v>45</v>
      </c>
      <c r="V126" s="45">
        <f>+U126-Q126</f>
        <v>23.75</v>
      </c>
      <c r="W126" s="30">
        <f t="shared" ref="W126:W131" si="76">+V126/20</f>
        <v>1.1875</v>
      </c>
      <c r="X126" s="110">
        <f t="shared" ref="X126:X131" si="77">CEILING(+W126,1)</f>
        <v>2</v>
      </c>
      <c r="Y126" s="371">
        <f t="shared" ref="Y126:Y131" si="78">+W126+1-X126</f>
        <v>0.1875</v>
      </c>
      <c r="Z126" s="482">
        <f t="shared" ref="Z126:Z131" si="79">CEILING(+W126,1)-1</f>
        <v>1</v>
      </c>
      <c r="AA126" s="483">
        <f t="shared" ref="AA126:AA131" si="80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75"/>
        <v>28.75</v>
      </c>
      <c r="V127" s="45">
        <f>+U127+Q127</f>
        <v>7.5</v>
      </c>
      <c r="W127" s="30">
        <f t="shared" si="76"/>
        <v>0.375</v>
      </c>
      <c r="X127" s="110">
        <f t="shared" si="77"/>
        <v>1</v>
      </c>
      <c r="Y127" s="31">
        <f t="shared" si="78"/>
        <v>0.375</v>
      </c>
      <c r="Z127" s="482">
        <f t="shared" si="79"/>
        <v>0</v>
      </c>
      <c r="AA127" s="483">
        <f t="shared" si="80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7" priority="1" stopIfTrue="1">
      <formula>ABS(+FIXED(R33,0)-R33)&gt;0.15</formula>
    </cfRule>
  </conditionalFormatting>
  <conditionalFormatting sqref="AA33:AA37 AA39:AA44 AA59:AA63">
    <cfRule type="cellIs" dxfId="16" priority="2" stopIfTrue="1" operator="greaterThan">
      <formula>3</formula>
    </cfRule>
  </conditionalFormatting>
  <conditionalFormatting sqref="AA46:AA57">
    <cfRule type="cellIs" dxfId="15" priority="3" stopIfTrue="1" operator="greaterThanOrEqual">
      <formula>5</formula>
    </cfRule>
  </conditionalFormatting>
  <conditionalFormatting sqref="AA70:AA79">
    <cfRule type="cellIs" dxfId="14" priority="4" stopIfTrue="1" operator="greaterThanOrEqual">
      <formula>0.2</formula>
    </cfRule>
  </conditionalFormatting>
  <conditionalFormatting sqref="AA88:AA101">
    <cfRule type="cellIs" dxfId="13" priority="5" stopIfTrue="1" operator="greaterThanOrEqual">
      <formula>0.15</formula>
    </cfRule>
  </conditionalFormatting>
  <conditionalFormatting sqref="AA81:AA86">
    <cfRule type="cellIs" dxfId="12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zoomScale="75" zoomScaleNormal="75" workbookViewId="0">
      <selection activeCell="J40" sqref="J4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7.570312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41902</v>
      </c>
      <c r="B1" s="372">
        <f>+'[1]WE 09-19-14'!B2+1</f>
        <v>41902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41908</v>
      </c>
      <c r="B2" s="373">
        <v>41908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322.125</v>
      </c>
    </row>
    <row r="3" spans="1:30" x14ac:dyDescent="0.2">
      <c r="A3" s="1">
        <f>+B3</f>
        <v>41905</v>
      </c>
      <c r="B3" s="374">
        <v>41905</v>
      </c>
      <c r="C3" s="4" t="s">
        <v>2</v>
      </c>
      <c r="V3" s="7" t="s">
        <v>22</v>
      </c>
      <c r="W3" s="56">
        <f>+AA7/I8</f>
        <v>297.39285714285717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41908</v>
      </c>
      <c r="C7" s="34"/>
      <c r="E7" s="33">
        <f>+B1</f>
        <v>41902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2254.875</v>
      </c>
      <c r="Z7" s="353">
        <f>+I8</f>
        <v>7</v>
      </c>
      <c r="AA7" s="36">
        <f>+Y113</f>
        <v>2081.75</v>
      </c>
      <c r="AD7" s="4">
        <v>39013.949999999997</v>
      </c>
    </row>
    <row r="8" spans="1:30" ht="13.5" x14ac:dyDescent="0.25">
      <c r="A8" s="37" t="s">
        <v>25</v>
      </c>
      <c r="B8" s="375">
        <v>63348</v>
      </c>
      <c r="C8" s="39">
        <f>+B7</f>
        <v>41908</v>
      </c>
      <c r="D8" s="15">
        <f>+U8/U14</f>
        <v>0.74006242413626822</v>
      </c>
      <c r="E8" s="375">
        <v>63159</v>
      </c>
      <c r="F8" s="39">
        <f>+E7</f>
        <v>41902</v>
      </c>
      <c r="G8" s="40">
        <f t="shared" ref="G8:G13" si="0">+B8-E8</f>
        <v>189</v>
      </c>
      <c r="H8" s="41"/>
      <c r="I8" s="42">
        <f>+C8-F8+1</f>
        <v>7</v>
      </c>
      <c r="J8" s="9">
        <f>+G8/I8</f>
        <v>27</v>
      </c>
      <c r="L8" s="10">
        <f>+(((((((+N8*+Q8)*+M8)+8)*0.02)+(((+N8*+Q8)*+M8)+8))*0.0147)+(((((+N8*+Q8)*+M8)+8)*0.02))+8)</f>
        <v>38.579415563910302</v>
      </c>
      <c r="M8" s="11">
        <f>+O27</f>
        <v>1.00987</v>
      </c>
      <c r="N8" s="12">
        <f>+J8*(365/12)</f>
        <v>821.25</v>
      </c>
      <c r="O8" s="13">
        <f>+((N8*+Q8)*M8)+L8</f>
        <v>904.42680551391027</v>
      </c>
      <c r="P8" s="12"/>
      <c r="Q8" s="11">
        <v>1.044</v>
      </c>
      <c r="R8" s="43">
        <f>+N8*Q8</f>
        <v>857.38499999999999</v>
      </c>
      <c r="S8" s="29" t="s">
        <v>26</v>
      </c>
      <c r="T8" s="12"/>
      <c r="U8" s="44">
        <f>+O8</f>
        <v>904.42680551391027</v>
      </c>
      <c r="V8" s="346"/>
      <c r="W8" s="354">
        <f>((+G8*Q8)*M8)+(L8/+(365/12)/7)</f>
        <v>199.44470382675811</v>
      </c>
      <c r="X8" s="30"/>
      <c r="Y8" s="46">
        <f>+Y120*((365/12)/7)*(7/+Z7)</f>
        <v>9797.9687500000018</v>
      </c>
      <c r="Z8" s="355">
        <f>4.3333*7</f>
        <v>30.333100000000002</v>
      </c>
      <c r="AA8" s="47">
        <f>+Y113*((365/12)/7)*(7/+Z7)</f>
        <v>9045.6994047619064</v>
      </c>
      <c r="AD8" s="4">
        <f>AD7-AD6</f>
        <v>208.83999999999651</v>
      </c>
    </row>
    <row r="9" spans="1:30" ht="13.5" x14ac:dyDescent="0.25">
      <c r="A9" s="37" t="s">
        <v>27</v>
      </c>
      <c r="B9" s="376">
        <v>6155</v>
      </c>
      <c r="C9" s="39">
        <f>+C10</f>
        <v>41908</v>
      </c>
      <c r="D9" s="15">
        <f>(+U9+U10+U13)/U14</f>
        <v>0.17326096567229332</v>
      </c>
      <c r="E9" s="376">
        <v>5398</v>
      </c>
      <c r="F9" s="39">
        <f>+F10</f>
        <v>41902</v>
      </c>
      <c r="G9" s="40">
        <f t="shared" si="0"/>
        <v>757</v>
      </c>
      <c r="I9" s="42">
        <f>+C9-F9+1</f>
        <v>7</v>
      </c>
      <c r="J9" s="9">
        <f>+G9/I9</f>
        <v>108.14285714285714</v>
      </c>
      <c r="L9" s="10">
        <f>5+23.89</f>
        <v>28.89</v>
      </c>
      <c r="M9" s="11">
        <v>5.91E-2</v>
      </c>
      <c r="N9" s="12">
        <f>+J9*(365/12)</f>
        <v>3289.3452380952381</v>
      </c>
      <c r="O9" s="13">
        <f>+L9+N9*M9</f>
        <v>223.29030357142858</v>
      </c>
      <c r="P9" s="12"/>
      <c r="Q9" s="4" t="s">
        <v>283</v>
      </c>
      <c r="S9" s="29" t="s">
        <v>29</v>
      </c>
      <c r="T9" s="12"/>
      <c r="U9" s="44">
        <f>+O9</f>
        <v>223.29030357142858</v>
      </c>
      <c r="V9" s="346"/>
      <c r="W9" s="354">
        <f>((+G9*M9))+(L9/+(365/12)/7)</f>
        <v>44.874386888454012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66028</v>
      </c>
      <c r="C10" s="39">
        <f>+C11</f>
        <v>41908</v>
      </c>
      <c r="D10" s="15"/>
      <c r="E10" s="376">
        <v>65608</v>
      </c>
      <c r="F10" s="39">
        <f>+F11</f>
        <v>41902</v>
      </c>
      <c r="G10" s="40">
        <f t="shared" si="0"/>
        <v>420</v>
      </c>
      <c r="I10" s="42">
        <f>+C10-F10+1</f>
        <v>7</v>
      </c>
      <c r="J10" s="9">
        <f>+G10/I10</f>
        <v>60</v>
      </c>
      <c r="L10" s="10">
        <v>23.89</v>
      </c>
      <c r="M10" s="4">
        <f>+M9</f>
        <v>5.91E-2</v>
      </c>
      <c r="N10" s="12">
        <f>+J10*(365/12)</f>
        <v>1825</v>
      </c>
      <c r="O10" s="13">
        <f>+L10+N10*M10</f>
        <v>131.7475</v>
      </c>
      <c r="P10" s="12"/>
      <c r="Q10" s="4" t="s">
        <v>283</v>
      </c>
      <c r="S10" s="29" t="s">
        <v>32</v>
      </c>
      <c r="T10" s="12"/>
      <c r="U10" s="49">
        <f>+O10</f>
        <v>131.7475</v>
      </c>
      <c r="V10" s="346"/>
      <c r="W10" s="347">
        <f>((+G10*M10))+(L10/+(365/12)/7)</f>
        <v>24.934203522504891</v>
      </c>
      <c r="X10" s="30" t="s">
        <v>33</v>
      </c>
      <c r="Y10" s="50">
        <f>-U14</f>
        <v>-1222.0952936091476</v>
      </c>
      <c r="Z10" s="50"/>
      <c r="AA10" s="32"/>
    </row>
    <row r="11" spans="1:30" ht="13.5" x14ac:dyDescent="0.25">
      <c r="A11" s="37" t="s">
        <v>34</v>
      </c>
      <c r="B11" s="376">
        <v>406.01799999999997</v>
      </c>
      <c r="C11" s="39">
        <f>+C8</f>
        <v>41908</v>
      </c>
      <c r="D11" s="15">
        <f>+U11/U14</f>
        <v>8.6676610191438394E-2</v>
      </c>
      <c r="E11" s="376">
        <v>403.34300000000002</v>
      </c>
      <c r="F11" s="39">
        <f>+F8</f>
        <v>41902</v>
      </c>
      <c r="G11" s="51">
        <f t="shared" si="0"/>
        <v>2.6749999999999545</v>
      </c>
      <c r="H11" s="4" t="s">
        <v>35</v>
      </c>
      <c r="I11" s="42">
        <f>+C11-F11+1</f>
        <v>7</v>
      </c>
      <c r="J11" s="9">
        <f>(+G11/I11)*10</f>
        <v>3.8214285714285063</v>
      </c>
      <c r="L11" s="10">
        <v>22.8</v>
      </c>
      <c r="M11" s="4">
        <v>0.215</v>
      </c>
      <c r="N11" s="52">
        <f>+J11*(365/12)</f>
        <v>116.23511904761708</v>
      </c>
      <c r="O11" s="13">
        <f>+L11+N11*M11</f>
        <v>47.790550595237676</v>
      </c>
      <c r="P11" s="12"/>
      <c r="Q11" s="4" t="s">
        <v>284</v>
      </c>
      <c r="S11" s="29" t="s">
        <v>37</v>
      </c>
      <c r="T11" s="12"/>
      <c r="U11" s="49">
        <f>+O12+O11+5</f>
        <v>105.92707738095153</v>
      </c>
      <c r="V11" s="346"/>
      <c r="W11" s="347">
        <f>((+G11*10*M11))+((+G11*10*M12))+(L11/((365/12)/7))+(L12/((365/12)/7))</f>
        <v>23.227053424657335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27.96</v>
      </c>
      <c r="M12" s="4">
        <v>0.21659999999999999</v>
      </c>
      <c r="N12" s="54">
        <f>+N11</f>
        <v>116.23511904761708</v>
      </c>
      <c r="O12" s="13">
        <f>+L12+N12*M12</f>
        <v>53.136526785713855</v>
      </c>
      <c r="P12" s="12"/>
      <c r="Q12" s="4" t="s">
        <v>284</v>
      </c>
      <c r="S12" s="29" t="s">
        <v>41</v>
      </c>
      <c r="T12" s="12"/>
      <c r="U12" s="44">
        <f>+U11+U10</f>
        <v>237.67457738095152</v>
      </c>
      <c r="V12" s="346"/>
      <c r="W12" s="356">
        <f>+W11+W10</f>
        <v>48.161256947162229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f>314441+558</f>
        <v>314999</v>
      </c>
      <c r="C13" s="34">
        <f>+B7</f>
        <v>41908</v>
      </c>
      <c r="E13" s="377">
        <v>314441</v>
      </c>
      <c r="F13" s="34">
        <f>+E7</f>
        <v>41902</v>
      </c>
      <c r="G13" s="40">
        <f t="shared" si="0"/>
        <v>558</v>
      </c>
      <c r="I13" s="42">
        <f>+C13-F13+1</f>
        <v>7</v>
      </c>
      <c r="J13" s="9">
        <f>(+G13/I13)</f>
        <v>79.714285714285708</v>
      </c>
      <c r="L13" s="56">
        <v>0</v>
      </c>
      <c r="M13" s="4">
        <f>+M10</f>
        <v>5.91E-2</v>
      </c>
      <c r="N13" s="12">
        <f>+J13*(365/12)</f>
        <v>2424.6428571428569</v>
      </c>
      <c r="O13" s="13">
        <f>-(N13*M13)+L13</f>
        <v>-143.29639285714285</v>
      </c>
      <c r="P13" s="12"/>
      <c r="S13" s="29" t="s">
        <v>44</v>
      </c>
      <c r="T13" s="12"/>
      <c r="U13" s="57">
        <f>+O13</f>
        <v>-143.29639285714285</v>
      </c>
      <c r="V13" s="346"/>
      <c r="W13" s="345">
        <f>-((+G13*M13))+(L13/+(365/12)/7)</f>
        <v>-32.977800000000002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1222.0952936091476</v>
      </c>
      <c r="V14" s="63">
        <f>((+U14/Y8))</f>
        <v>0.1247294541135526</v>
      </c>
      <c r="W14" s="357">
        <f>W13+W12+W9+W8</f>
        <v>259.50254766237435</v>
      </c>
      <c r="X14" s="343">
        <f>+W14/AA7</f>
        <v>0.12465596140861024</v>
      </c>
      <c r="Y14" s="65">
        <f>SUM(Y8:Y13)</f>
        <v>6575.8734563908547</v>
      </c>
      <c r="Z14" s="66"/>
      <c r="AA14" s="67">
        <f>+U14/AA8</f>
        <v>0.13510235515518046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666.16468253968253</v>
      </c>
      <c r="E18" s="78">
        <f>(+U26/D18)</f>
        <v>0.17810867434605857</v>
      </c>
      <c r="F18" s="79"/>
      <c r="G18" s="12" t="s">
        <v>68</v>
      </c>
      <c r="H18" s="80">
        <f>SUM(H19:H21)</f>
        <v>1</v>
      </c>
      <c r="I18" s="81">
        <f>+Z105</f>
        <v>0.69520835835234773</v>
      </c>
      <c r="J18" s="82">
        <f>+M18/M27</f>
        <v>0.72567461807309352</v>
      </c>
      <c r="L18" s="83">
        <f>+Y105</f>
        <v>1447.25</v>
      </c>
      <c r="M18" s="84">
        <f>SUM(M19:M21)</f>
        <v>1328.6002914966944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0.40230292452352517</v>
      </c>
      <c r="C19" s="4">
        <v>12</v>
      </c>
      <c r="D19" s="88">
        <f>SUM(R46:R57)+SUM(V46:V57)</f>
        <v>268</v>
      </c>
      <c r="E19" s="379">
        <f>+F19/SUM(F19:F21)</f>
        <v>0.40230292452352517</v>
      </c>
      <c r="F19" s="90">
        <f>+D19*E18</f>
        <v>47.733124724743696</v>
      </c>
      <c r="G19" s="12" t="s">
        <v>70</v>
      </c>
      <c r="H19" s="380">
        <f>+L19/L18</f>
        <v>0.23147348419416133</v>
      </c>
      <c r="I19" s="92">
        <f>+L19/(+L18+L23)</f>
        <v>0.16092230094872104</v>
      </c>
      <c r="J19" s="93">
        <f>+M19/M27</f>
        <v>0.15690368377503949</v>
      </c>
      <c r="L19" s="74">
        <f>SUM(Y46:Y57)</f>
        <v>335</v>
      </c>
      <c r="M19" s="94">
        <f>+L19-F19</f>
        <v>287.26687527525633</v>
      </c>
      <c r="N19" s="4">
        <v>0.25</v>
      </c>
      <c r="O19" s="56">
        <f>+D19*N19</f>
        <v>67</v>
      </c>
      <c r="Q19" s="56">
        <f>+O19*4.33333</f>
        <v>290.33311000000003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0.21203465704831317</v>
      </c>
      <c r="C20" s="4">
        <v>5</v>
      </c>
      <c r="D20" s="88">
        <f>SUM(R33:R37)+SUM(V33:V37)</f>
        <v>141.25</v>
      </c>
      <c r="E20" s="97">
        <f>+F20/SUM(F19:F21)</f>
        <v>0.21203465704831317</v>
      </c>
      <c r="F20" s="98">
        <f>+D20*E18</f>
        <v>25.157850251380772</v>
      </c>
      <c r="G20" s="12"/>
      <c r="H20" s="99">
        <f>+L20/L18</f>
        <v>0.40956987389877353</v>
      </c>
      <c r="I20" s="92">
        <f>+L20/(+L18+L23)</f>
        <v>0.28473639966374442</v>
      </c>
      <c r="J20" s="93">
        <f>+M20/M27</f>
        <v>0.31001590103982013</v>
      </c>
      <c r="L20" s="100">
        <f>SUM(Y33:Y37)</f>
        <v>592.75</v>
      </c>
      <c r="M20" s="94">
        <f>+L20-F20</f>
        <v>567.59214974861925</v>
      </c>
      <c r="N20" s="4">
        <v>0.25</v>
      </c>
      <c r="O20" s="56">
        <f>+D20*N20</f>
        <v>35.3125</v>
      </c>
      <c r="Q20" s="56">
        <f>+O20*4.33333</f>
        <v>153.02071562500001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0.38566241842816168</v>
      </c>
      <c r="C21" s="4">
        <v>11</v>
      </c>
      <c r="D21" s="88">
        <f>SUM(R39:R44)+SUM(V39:V44)+SUM(R59:R63)+SUM(V59:V63)</f>
        <v>256.91468253968253</v>
      </c>
      <c r="E21" s="101">
        <f>+F21/SUM(F19:F21)</f>
        <v>0.38566241842816168</v>
      </c>
      <c r="F21" s="102">
        <f>+D21*E18</f>
        <v>45.758733527181334</v>
      </c>
      <c r="G21" s="12"/>
      <c r="H21" s="99">
        <f>+L21/L18</f>
        <v>0.35895664190706511</v>
      </c>
      <c r="I21" s="92">
        <f>+L21/(+L18+L23)</f>
        <v>0.2495496577398823</v>
      </c>
      <c r="J21" s="93">
        <f>+M21/M27</f>
        <v>0.25875503325823385</v>
      </c>
      <c r="L21" s="74">
        <f>SUM(Y39:Y44,Y59:Y63)</f>
        <v>519.5</v>
      </c>
      <c r="M21" s="94">
        <f>+L21-F21</f>
        <v>473.74126647281867</v>
      </c>
      <c r="N21" s="4">
        <v>0.25</v>
      </c>
      <c r="O21" s="103">
        <f>+D21*N21</f>
        <v>64.228670634920633</v>
      </c>
      <c r="Q21" s="103">
        <f>+O21*4.33333</f>
        <v>278.32402532242065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166.54117063492063</v>
      </c>
      <c r="Q22" s="74">
        <f>SUM(Q19:Q21)</f>
        <v>721.67785094742067</v>
      </c>
      <c r="S22" s="29" t="s">
        <v>261</v>
      </c>
      <c r="T22" s="12"/>
      <c r="U22" s="106">
        <f>+I18</f>
        <v>0.69520835835234773</v>
      </c>
      <c r="V22" s="106">
        <f>+I23</f>
        <v>0.30479164164765221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17766</v>
      </c>
      <c r="E23" s="108">
        <f>+V26/D23</f>
        <v>7.4440945572695708E-3</v>
      </c>
      <c r="F23" s="109"/>
      <c r="G23" s="110"/>
      <c r="H23" s="80">
        <f>SUM(H24:H26)</f>
        <v>1</v>
      </c>
      <c r="I23" s="81">
        <f>+Z106</f>
        <v>0.30479164164765221</v>
      </c>
      <c r="J23" s="82">
        <f>+M23/M27</f>
        <v>0.27432538192690648</v>
      </c>
      <c r="L23" s="83">
        <f>Y106</f>
        <v>634.5</v>
      </c>
      <c r="M23" s="84">
        <f>SUM(M24:M26)</f>
        <v>502.2482160955488</v>
      </c>
      <c r="S23" s="29" t="s">
        <v>26</v>
      </c>
      <c r="T23" s="12"/>
      <c r="U23" s="45">
        <f>+W8*U18</f>
        <v>79.777881530703254</v>
      </c>
      <c r="V23" s="45">
        <f>(W8*V18)</f>
        <v>115.6779282195197</v>
      </c>
      <c r="W23" s="45">
        <f>+W8*W18</f>
        <v>3.9888940765351624</v>
      </c>
      <c r="X23" s="111">
        <f>SUM(U23:W23)</f>
        <v>199.44470382675811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0.47813238770685579</v>
      </c>
      <c r="C24" s="4">
        <v>10</v>
      </c>
      <c r="D24" s="112">
        <f>(SUM(R70:R79)*F70)+(SUM(V70:V79)*F70)</f>
        <v>8494.5</v>
      </c>
      <c r="E24" s="113">
        <f>+F24/SUM(F24:F26)</f>
        <v>0.47813238770685573</v>
      </c>
      <c r="F24" s="90">
        <f>+D24*E23</f>
        <v>63.233861216726368</v>
      </c>
      <c r="G24" s="12"/>
      <c r="H24" s="99">
        <f>+L24/L23</f>
        <v>0.47813238770685579</v>
      </c>
      <c r="I24" s="114">
        <f>+L24/(L18+L23)</f>
        <v>0.14573075537408431</v>
      </c>
      <c r="J24" s="93">
        <f>+M24/M27</f>
        <v>0.13116384986930693</v>
      </c>
      <c r="L24" s="56">
        <f>SUM(Y70:Y79)</f>
        <v>303.375</v>
      </c>
      <c r="M24" s="94">
        <f>+L24-F24</f>
        <v>240.14113878327362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(+W11)*U19</f>
        <v>22.297971287671039</v>
      </c>
      <c r="V24" s="45">
        <f>((+W11)*V19)</f>
        <v>0</v>
      </c>
      <c r="W24" s="45">
        <f>(+W11)*W19</f>
        <v>0.92908213698629338</v>
      </c>
      <c r="X24" s="111">
        <f>SUM(U24:W24)</f>
        <v>23.227053424657331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0.13179669030732863</v>
      </c>
      <c r="C25" s="4">
        <v>6</v>
      </c>
      <c r="D25" s="112">
        <f>(SUM(R81:R86)*F81)+(SUM(V81:V86)*F71)</f>
        <v>2341.5000000000005</v>
      </c>
      <c r="E25" s="97">
        <f>+F25/SUM(F24:F26)</f>
        <v>0.13179669030732863</v>
      </c>
      <c r="F25" s="98">
        <f>+D25*E23</f>
        <v>17.430347405846703</v>
      </c>
      <c r="H25" s="99">
        <f>+L25/L23</f>
        <v>0.13179669030732863</v>
      </c>
      <c r="I25" s="114">
        <f>+L25/(+L18+L23)</f>
        <v>4.0170529602497902E-2</v>
      </c>
      <c r="J25" s="93">
        <f>+M25/M27</f>
        <v>3.6155177405260135E-2</v>
      </c>
      <c r="K25" s="12"/>
      <c r="L25" s="56">
        <f>SUM(Y81:Y86)</f>
        <v>83.625000000000014</v>
      </c>
      <c r="M25" s="94">
        <f>+L25-F25</f>
        <v>66.194652594153311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16.573855684931505</v>
      </c>
      <c r="V25" s="115">
        <f>(+W9+W10+W13)*V20</f>
        <v>16.573855684931505</v>
      </c>
      <c r="W25" s="115">
        <f>(+W9+W10+W13)*W20</f>
        <v>3.68307904109589</v>
      </c>
      <c r="X25" s="111">
        <f>SUM(U25:W25)</f>
        <v>36.830790410958897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0.39007092198581561</v>
      </c>
      <c r="C26" s="4">
        <v>10</v>
      </c>
      <c r="D26" s="112">
        <f>(SUM(R88:R101)*F88)+(SUM(V88:V101)*F72)</f>
        <v>6930</v>
      </c>
      <c r="E26" s="101">
        <f>+F26/SUM(F24:F26)</f>
        <v>0.39007092198581556</v>
      </c>
      <c r="F26" s="102">
        <f>+D26*E23</f>
        <v>51.587575281878124</v>
      </c>
      <c r="H26" s="99">
        <f>+L26/L23</f>
        <v>0.39007092198581561</v>
      </c>
      <c r="I26" s="114">
        <f>+L26/(+L18+L23)</f>
        <v>0.11889035667107001</v>
      </c>
      <c r="J26" s="93">
        <f>+M26/M27</f>
        <v>0.1070063546523394</v>
      </c>
      <c r="K26" s="116"/>
      <c r="L26" s="103">
        <f>SUM(Y88:Y101)</f>
        <v>247.5</v>
      </c>
      <c r="M26" s="117">
        <f>+L26-F26</f>
        <v>195.91242471812188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118.6497085033058</v>
      </c>
      <c r="V26" s="45">
        <f>SUM(V23:V25)</f>
        <v>132.2517839044512</v>
      </c>
      <c r="W26" s="45">
        <f>SUM(W23:W25)</f>
        <v>8.6010552546173464</v>
      </c>
      <c r="X26" s="111">
        <f>SUM(U26:W26)</f>
        <v>259.50254766237435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2081.75</v>
      </c>
      <c r="M27" s="122">
        <f>+M18+M23</f>
        <v>1830.8485075922431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41902</v>
      </c>
      <c r="B30" s="12"/>
      <c r="C30" s="136">
        <f>+B3</f>
        <v>41905</v>
      </c>
      <c r="D30" s="136">
        <f>+B2</f>
        <v>41908</v>
      </c>
      <c r="E30" s="137">
        <f>+C30-A30+1</f>
        <v>4</v>
      </c>
      <c r="F30" s="138">
        <f>+D30-C30</f>
        <v>3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7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4</v>
      </c>
      <c r="H33" s="383">
        <v>4</v>
      </c>
      <c r="I33" s="384">
        <v>15</v>
      </c>
      <c r="J33" s="154">
        <f>+J31</f>
        <v>0</v>
      </c>
      <c r="K33" s="12"/>
      <c r="L33" s="151">
        <f>+F30</f>
        <v>3</v>
      </c>
      <c r="M33" s="496">
        <v>2</v>
      </c>
      <c r="N33" s="397">
        <v>3.9</v>
      </c>
      <c r="O33" s="154">
        <f>+O31</f>
        <v>0</v>
      </c>
      <c r="P33" s="12"/>
      <c r="Q33" s="385">
        <f>((+H33+(I33/16))-J33)*20</f>
        <v>98.75</v>
      </c>
      <c r="R33" s="156">
        <f>+Q33/E33</f>
        <v>23.235294117647058</v>
      </c>
      <c r="S33" s="157">
        <f>(+R33/C33)/G33</f>
        <v>5.8088235294117645</v>
      </c>
      <c r="T33" s="12"/>
      <c r="U33" s="385">
        <f>((+M33+(N33/16))-O33)*20</f>
        <v>44.875</v>
      </c>
      <c r="V33" s="156">
        <f>+U33/E33</f>
        <v>10.558823529411764</v>
      </c>
      <c r="W33" s="157">
        <f>(+V33/C33)/L33</f>
        <v>3.5196078431372548</v>
      </c>
      <c r="X33" s="30" t="s">
        <v>127</v>
      </c>
      <c r="Y33" s="50">
        <f>+U33+Q33</f>
        <v>143.625</v>
      </c>
      <c r="Z33" s="158">
        <f>+Y33/Y112</f>
        <v>6.899243425003003E-2</v>
      </c>
      <c r="AA33" s="159">
        <f>((+R33+V33)/C33)/(+G33+L33)</f>
        <v>4.8277310924369754</v>
      </c>
    </row>
    <row r="34" spans="1:27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4</v>
      </c>
      <c r="H34" s="386">
        <v>11</v>
      </c>
      <c r="I34" s="387">
        <v>3.7</v>
      </c>
      <c r="J34" s="154">
        <f>+J33</f>
        <v>0</v>
      </c>
      <c r="K34" s="12"/>
      <c r="L34" s="151">
        <f>+L33</f>
        <v>3</v>
      </c>
      <c r="M34" s="388">
        <v>5</v>
      </c>
      <c r="N34" s="389">
        <v>9.8000000000000007</v>
      </c>
      <c r="O34" s="154">
        <f>+O33</f>
        <v>0</v>
      </c>
      <c r="P34" s="12"/>
      <c r="Q34" s="165">
        <f>(((+H34+(I34/16))-J34)-((+H33+(I33/16))-J33))*20</f>
        <v>125.87499999999999</v>
      </c>
      <c r="R34" s="156">
        <f>+Q34/E34</f>
        <v>29.617647058823525</v>
      </c>
      <c r="S34" s="157">
        <f>(+R34/C34)/G34</f>
        <v>7.4044117647058814</v>
      </c>
      <c r="T34" s="12"/>
      <c r="U34" s="165">
        <f t="shared" ref="U34:U37" si="1">(((+M34+(N34/16))-O34)-((+M33+(N33/16))-O33))*20</f>
        <v>67.375</v>
      </c>
      <c r="V34" s="156">
        <f>+U34/E34</f>
        <v>15.852941176470589</v>
      </c>
      <c r="W34" s="157">
        <f>(+V34/C34)/L34</f>
        <v>5.284313725490196</v>
      </c>
      <c r="X34" s="30" t="s">
        <v>129</v>
      </c>
      <c r="Y34" s="50">
        <f>+U34+Q34</f>
        <v>193.25</v>
      </c>
      <c r="Z34" s="158">
        <f>+Y34/TOTAL_MEASUED_INCOME</f>
        <v>9.2830551218926388E-2</v>
      </c>
      <c r="AA34" s="159">
        <f>((+R34+V34)/C34)/(+G34+L34)</f>
        <v>6.4957983193277311</v>
      </c>
    </row>
    <row r="35" spans="1:27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4</v>
      </c>
      <c r="H35" s="386">
        <v>14</v>
      </c>
      <c r="I35" s="387">
        <v>13.3</v>
      </c>
      <c r="J35" s="154">
        <f>+J34</f>
        <v>0</v>
      </c>
      <c r="K35" s="12"/>
      <c r="L35" s="151">
        <f>+L34</f>
        <v>3</v>
      </c>
      <c r="M35" s="388">
        <v>8</v>
      </c>
      <c r="N35" s="389">
        <v>12.1</v>
      </c>
      <c r="O35" s="154">
        <f>+O34</f>
        <v>0</v>
      </c>
      <c r="P35" s="12"/>
      <c r="Q35" s="165">
        <f>(((+H35+(I35/16))-J35)-((+H34+(I34/16))-J34))*20</f>
        <v>72.000000000000028</v>
      </c>
      <c r="R35" s="156">
        <f>+Q35/E35</f>
        <v>16.941176470588243</v>
      </c>
      <c r="S35" s="157">
        <f>(+R35/C35)/G35</f>
        <v>4.2352941176470607</v>
      </c>
      <c r="T35" s="12"/>
      <c r="U35" s="165">
        <f t="shared" si="1"/>
        <v>62.875</v>
      </c>
      <c r="V35" s="156">
        <f>+U35/E35</f>
        <v>14.794117647058824</v>
      </c>
      <c r="W35" s="157">
        <f>(+V35/C35)/L35</f>
        <v>4.9313725490196081</v>
      </c>
      <c r="X35" s="30" t="s">
        <v>132</v>
      </c>
      <c r="Y35" s="50">
        <f>+U35+Q35</f>
        <v>134.87500000000003</v>
      </c>
      <c r="Z35" s="158">
        <f>+Y35/TOTAL_MEASUED_INCOME</f>
        <v>6.4789239822264935E-2</v>
      </c>
      <c r="AA35" s="159">
        <f>((+R35+V35)/C35)/(+G35+L35)</f>
        <v>4.533613445378152</v>
      </c>
    </row>
    <row r="36" spans="1:27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4</v>
      </c>
      <c r="H36" s="386">
        <v>14</v>
      </c>
      <c r="I36" s="387">
        <v>13.3</v>
      </c>
      <c r="J36" s="154">
        <f>+J35</f>
        <v>0</v>
      </c>
      <c r="K36" s="12"/>
      <c r="L36" s="151">
        <f>+L35</f>
        <v>3</v>
      </c>
      <c r="M36" s="388">
        <v>8</v>
      </c>
      <c r="N36" s="389">
        <v>12.1</v>
      </c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>
        <f>(+V36/C36)/L36</f>
        <v>0</v>
      </c>
      <c r="X36" s="30" t="s">
        <v>135</v>
      </c>
      <c r="Y36" s="50">
        <f>+U36+Q36</f>
        <v>0</v>
      </c>
      <c r="Z36" s="158">
        <f>+Y36/TOTAL_MEASUED_INCOME</f>
        <v>0</v>
      </c>
      <c r="AA36" s="159">
        <f>((+R36+V36)/C36)/(+G36+L36)</f>
        <v>0</v>
      </c>
    </row>
    <row r="37" spans="1:27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4</v>
      </c>
      <c r="H37" s="386">
        <v>18</v>
      </c>
      <c r="I37" s="387">
        <v>10.199999999999999</v>
      </c>
      <c r="J37" s="154">
        <f>+J36</f>
        <v>0</v>
      </c>
      <c r="K37" s="12"/>
      <c r="L37" s="151">
        <f>+L36</f>
        <v>3</v>
      </c>
      <c r="M37" s="388">
        <v>11</v>
      </c>
      <c r="N37" s="389">
        <v>0</v>
      </c>
      <c r="O37" s="154">
        <f>+O36</f>
        <v>0</v>
      </c>
      <c r="P37" s="12"/>
      <c r="Q37" s="165">
        <f>(((+H37+(I37/16))-J37)-((+H36+(I36/16))-J36))*20</f>
        <v>76.124999999999972</v>
      </c>
      <c r="R37" s="156">
        <f>+Q37/E37</f>
        <v>19.031249999999993</v>
      </c>
      <c r="S37" s="157">
        <f>(+R37/C37)/G37</f>
        <v>4.7578124999999982</v>
      </c>
      <c r="T37" s="12"/>
      <c r="U37" s="165">
        <f t="shared" si="1"/>
        <v>44.875000000000007</v>
      </c>
      <c r="V37" s="156">
        <f>+U37/E37</f>
        <v>11.218750000000002</v>
      </c>
      <c r="W37" s="157">
        <f>(+V37/C37)/L37</f>
        <v>3.7395833333333339</v>
      </c>
      <c r="X37" s="30" t="s">
        <v>129</v>
      </c>
      <c r="Y37" s="50">
        <f>+U37+Q37</f>
        <v>120.99999999999997</v>
      </c>
      <c r="Z37" s="158">
        <f>+Y37/TOTAL_MEASUED_INCOME</f>
        <v>5.8124174372523103E-2</v>
      </c>
      <c r="AA37" s="159">
        <f>((+R37+V37)/C37)/(+G37+L37)</f>
        <v>4.3214285714285703</v>
      </c>
    </row>
    <row r="38" spans="1:27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4.4412683823529404</v>
      </c>
      <c r="T38" s="12"/>
      <c r="U38" s="165"/>
      <c r="V38" s="156"/>
      <c r="W38" s="166">
        <f>AVERAGE(W33:W37)</f>
        <v>3.4949754901960786</v>
      </c>
      <c r="X38" s="30"/>
      <c r="Y38" s="50"/>
      <c r="Z38" s="167">
        <f>SUM(Y33:Y37)/TOTAL_MEASUED_INCOME</f>
        <v>0.28473639966374442</v>
      </c>
      <c r="AA38" s="168">
        <f>AVERAGE(AA33:AA37)</f>
        <v>4.0357142857142856</v>
      </c>
    </row>
    <row r="39" spans="1:27" ht="15" x14ac:dyDescent="0.25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4</v>
      </c>
      <c r="H39" s="163"/>
      <c r="I39" s="164"/>
      <c r="J39" s="154">
        <f>+J37</f>
        <v>0</v>
      </c>
      <c r="K39" s="12"/>
      <c r="L39" s="151">
        <f>+L37</f>
        <v>3</v>
      </c>
      <c r="M39" s="388">
        <v>0</v>
      </c>
      <c r="N39" s="389">
        <v>0</v>
      </c>
      <c r="O39" s="154">
        <f>+O37</f>
        <v>0</v>
      </c>
      <c r="P39" s="12"/>
      <c r="Q39" s="165">
        <f t="shared" ref="Q39:Q44" si="2">(((+H39+(I39/16))-J39)-((+H38+(I38/16))-J38))*20</f>
        <v>0</v>
      </c>
      <c r="R39" s="156">
        <f t="shared" ref="R39:R44" si="3">+Q39/E39</f>
        <v>0</v>
      </c>
      <c r="S39" s="157">
        <f t="shared" ref="S39:S44" si="4">(+R39/C39)/G39</f>
        <v>0</v>
      </c>
      <c r="T39" s="12"/>
      <c r="U39" s="385">
        <f t="shared" ref="U39:U41" si="5">((+M39+(N39/16))-O39)*20</f>
        <v>0</v>
      </c>
      <c r="V39" s="156">
        <f t="shared" ref="V39:V44" si="6">+U39/E39</f>
        <v>0</v>
      </c>
      <c r="W39" s="157">
        <f t="shared" ref="W39:W44" si="7">(+V39/C39)/L39</f>
        <v>0</v>
      </c>
      <c r="X39" s="30" t="s">
        <v>139</v>
      </c>
      <c r="Y39" s="50">
        <f t="shared" ref="Y39:Y44" si="8">+U39+Q39</f>
        <v>0</v>
      </c>
      <c r="Z39" s="158">
        <f t="shared" ref="Z39:Z44" si="9">+Y39/TOTAL_MEASUED_INCOME</f>
        <v>0</v>
      </c>
      <c r="AA39" s="159">
        <f t="shared" ref="AA39:AA44" si="10">((+R39+V39)/C39)/(+G39+L39)</f>
        <v>0</v>
      </c>
    </row>
    <row r="40" spans="1:27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4</v>
      </c>
      <c r="H40" s="163"/>
      <c r="I40" s="164"/>
      <c r="J40" s="154">
        <f>+J39</f>
        <v>0</v>
      </c>
      <c r="K40" s="12"/>
      <c r="L40" s="151">
        <f>+L39</f>
        <v>3</v>
      </c>
      <c r="M40" s="388">
        <v>3</v>
      </c>
      <c r="N40" s="389">
        <v>2.2000000000000002</v>
      </c>
      <c r="O40" s="154">
        <f>+O39</f>
        <v>0</v>
      </c>
      <c r="P40" s="12"/>
      <c r="Q40" s="165">
        <f t="shared" si="2"/>
        <v>0</v>
      </c>
      <c r="R40" s="156">
        <f t="shared" si="3"/>
        <v>0</v>
      </c>
      <c r="S40" s="157">
        <f t="shared" si="4"/>
        <v>0</v>
      </c>
      <c r="T40" s="12"/>
      <c r="U40" s="165">
        <f t="shared" ref="U40:U44" si="11">(((+M40+(N40/16))-O40)-((+M39+(N39/16))-O39))*20</f>
        <v>62.75</v>
      </c>
      <c r="V40" s="156">
        <f t="shared" si="6"/>
        <v>31.375</v>
      </c>
      <c r="W40" s="157">
        <f t="shared" si="7"/>
        <v>10.458333333333334</v>
      </c>
      <c r="X40" s="30" t="s">
        <v>141</v>
      </c>
      <c r="Y40" s="50">
        <f t="shared" si="8"/>
        <v>62.75</v>
      </c>
      <c r="Z40" s="158">
        <f t="shared" si="9"/>
        <v>3.0142908610544014E-2</v>
      </c>
      <c r="AA40" s="159">
        <f t="shared" si="10"/>
        <v>4.4821428571428568</v>
      </c>
    </row>
    <row r="41" spans="1:27" ht="15" x14ac:dyDescent="0.25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4</v>
      </c>
      <c r="H41" s="163"/>
      <c r="I41" s="164"/>
      <c r="J41" s="154">
        <f>+J40</f>
        <v>0</v>
      </c>
      <c r="K41" s="12"/>
      <c r="L41" s="151">
        <f>+L40</f>
        <v>3</v>
      </c>
      <c r="M41" s="388">
        <v>2</v>
      </c>
      <c r="N41" s="389">
        <v>15.5</v>
      </c>
      <c r="O41" s="154">
        <f>+O40</f>
        <v>0</v>
      </c>
      <c r="P41" s="12"/>
      <c r="Q41" s="165">
        <f t="shared" si="2"/>
        <v>0</v>
      </c>
      <c r="R41" s="156">
        <f t="shared" si="3"/>
        <v>0</v>
      </c>
      <c r="S41" s="157">
        <f t="shared" si="4"/>
        <v>0</v>
      </c>
      <c r="T41" s="12"/>
      <c r="U41" s="385">
        <f t="shared" si="5"/>
        <v>59.375</v>
      </c>
      <c r="V41" s="156">
        <f t="shared" si="6"/>
        <v>26.388888888888889</v>
      </c>
      <c r="W41" s="157">
        <f t="shared" si="7"/>
        <v>8.7962962962962958</v>
      </c>
      <c r="X41" s="30" t="s">
        <v>143</v>
      </c>
      <c r="Y41" s="50">
        <f t="shared" si="8"/>
        <v>59.375</v>
      </c>
      <c r="Z41" s="158">
        <f t="shared" si="9"/>
        <v>2.8521676474120333E-2</v>
      </c>
      <c r="AA41" s="159">
        <f t="shared" si="10"/>
        <v>3.7698412698412698</v>
      </c>
    </row>
    <row r="42" spans="1:27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4</v>
      </c>
      <c r="H42" s="163"/>
      <c r="I42" s="164"/>
      <c r="J42" s="154">
        <f>+J41</f>
        <v>0</v>
      </c>
      <c r="K42" s="12"/>
      <c r="L42" s="151">
        <f>+L41</f>
        <v>3</v>
      </c>
      <c r="M42" s="388">
        <v>6</v>
      </c>
      <c r="N42" s="389">
        <v>1.7</v>
      </c>
      <c r="O42" s="154">
        <f>+O41</f>
        <v>0</v>
      </c>
      <c r="P42" s="12"/>
      <c r="Q42" s="165">
        <f t="shared" si="2"/>
        <v>0</v>
      </c>
      <c r="R42" s="156">
        <f t="shared" si="3"/>
        <v>0</v>
      </c>
      <c r="S42" s="157">
        <f t="shared" si="4"/>
        <v>0</v>
      </c>
      <c r="T42" s="12"/>
      <c r="U42" s="165">
        <f t="shared" si="11"/>
        <v>62.75</v>
      </c>
      <c r="V42" s="156">
        <f t="shared" si="6"/>
        <v>27.888888888888889</v>
      </c>
      <c r="W42" s="157">
        <f t="shared" si="7"/>
        <v>9.2962962962962958</v>
      </c>
      <c r="X42" s="30" t="s">
        <v>145</v>
      </c>
      <c r="Y42" s="50">
        <f t="shared" si="8"/>
        <v>62.75</v>
      </c>
      <c r="Z42" s="158">
        <f t="shared" si="9"/>
        <v>3.0142908610544014E-2</v>
      </c>
      <c r="AA42" s="159">
        <f t="shared" si="10"/>
        <v>3.9841269841269842</v>
      </c>
    </row>
    <row r="43" spans="1:27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4</v>
      </c>
      <c r="H43" s="163"/>
      <c r="I43" s="164"/>
      <c r="J43" s="154">
        <f>+J42</f>
        <v>0</v>
      </c>
      <c r="K43" s="12"/>
      <c r="L43" s="151">
        <f>+L42</f>
        <v>3</v>
      </c>
      <c r="M43" s="388">
        <v>9</v>
      </c>
      <c r="N43" s="389">
        <v>15.5</v>
      </c>
      <c r="O43" s="154">
        <f>+O42</f>
        <v>0</v>
      </c>
      <c r="P43" s="12"/>
      <c r="Q43" s="165">
        <f t="shared" si="2"/>
        <v>0</v>
      </c>
      <c r="R43" s="156">
        <f t="shared" si="3"/>
        <v>0</v>
      </c>
      <c r="S43" s="157">
        <f t="shared" si="4"/>
        <v>0</v>
      </c>
      <c r="T43" s="12"/>
      <c r="U43" s="165">
        <f t="shared" si="11"/>
        <v>77.25</v>
      </c>
      <c r="V43" s="156">
        <f t="shared" si="6"/>
        <v>34.333333333333336</v>
      </c>
      <c r="W43" s="157">
        <f t="shared" si="7"/>
        <v>11.444444444444445</v>
      </c>
      <c r="X43" s="30" t="s">
        <v>147</v>
      </c>
      <c r="Y43" s="50">
        <f t="shared" si="8"/>
        <v>77.25</v>
      </c>
      <c r="Z43" s="158">
        <f t="shared" si="9"/>
        <v>3.710820223369761E-2</v>
      </c>
      <c r="AA43" s="159">
        <f t="shared" si="10"/>
        <v>4.9047619047619051</v>
      </c>
    </row>
    <row r="44" spans="1:27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4</v>
      </c>
      <c r="H44" s="163"/>
      <c r="I44" s="164"/>
      <c r="J44" s="154">
        <f>+J43</f>
        <v>0</v>
      </c>
      <c r="K44" s="12"/>
      <c r="L44" s="151">
        <f>+L43</f>
        <v>3</v>
      </c>
      <c r="M44" s="388">
        <v>13</v>
      </c>
      <c r="N44" s="389">
        <v>15.4</v>
      </c>
      <c r="O44" s="154">
        <f>+O43</f>
        <v>0</v>
      </c>
      <c r="P44" s="12"/>
      <c r="Q44" s="165">
        <f t="shared" si="2"/>
        <v>0</v>
      </c>
      <c r="R44" s="156">
        <f t="shared" si="3"/>
        <v>0</v>
      </c>
      <c r="S44" s="157">
        <f t="shared" si="4"/>
        <v>0</v>
      </c>
      <c r="T44" s="12"/>
      <c r="U44" s="165">
        <f t="shared" si="11"/>
        <v>79.875</v>
      </c>
      <c r="V44" s="156">
        <f t="shared" si="6"/>
        <v>35.5</v>
      </c>
      <c r="W44" s="157">
        <f t="shared" si="7"/>
        <v>11.833333333333334</v>
      </c>
      <c r="X44" s="30" t="s">
        <v>149</v>
      </c>
      <c r="Y44" s="50">
        <f t="shared" si="8"/>
        <v>79.875</v>
      </c>
      <c r="Z44" s="158">
        <f t="shared" si="9"/>
        <v>3.8369160562027139E-2</v>
      </c>
      <c r="AA44" s="159">
        <f t="shared" si="10"/>
        <v>5.0714285714285712</v>
      </c>
    </row>
    <row r="45" spans="1:27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8.6381172839506171</v>
      </c>
      <c r="X45" s="24"/>
      <c r="Y45" s="50"/>
      <c r="Z45" s="167">
        <f>SUM(Y39:Y44)/TOTAL_MEASUED_INCOME</f>
        <v>0.16428485649093311</v>
      </c>
      <c r="AA45" s="168">
        <f>AVERAGE(AA39:AA44)</f>
        <v>3.7020502645502646</v>
      </c>
    </row>
    <row r="46" spans="1:27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4</v>
      </c>
      <c r="H46" s="163"/>
      <c r="I46" s="164"/>
      <c r="J46" s="154">
        <f>+J44</f>
        <v>0</v>
      </c>
      <c r="K46" s="12"/>
      <c r="L46" s="151">
        <f>+L44</f>
        <v>3</v>
      </c>
      <c r="M46" s="388">
        <v>0</v>
      </c>
      <c r="N46" s="389">
        <v>14.4</v>
      </c>
      <c r="O46" s="154">
        <f>+O44</f>
        <v>0</v>
      </c>
      <c r="P46" s="12"/>
      <c r="Q46" s="165">
        <f t="shared" ref="Q46:Q57" si="12">(((+H46+(I46/16))-J46)-((+H45+(I45/16))-J45))*20</f>
        <v>0</v>
      </c>
      <c r="R46" s="156">
        <f t="shared" ref="R46:R57" si="13">+Q46/E46</f>
        <v>0</v>
      </c>
      <c r="S46" s="157">
        <f t="shared" ref="S46:S57" si="14">(+R46/C46)/G46</f>
        <v>0</v>
      </c>
      <c r="T46" s="12"/>
      <c r="U46" s="385">
        <f>((+M46+(N46/16))-O46)*20</f>
        <v>18</v>
      </c>
      <c r="V46" s="156">
        <f t="shared" ref="V46:V57" si="15">+U46/E46</f>
        <v>14.4</v>
      </c>
      <c r="W46" s="157">
        <f t="shared" ref="W46:W57" si="16">(+V46/C46)/L46</f>
        <v>4.8</v>
      </c>
      <c r="X46" s="30" t="s">
        <v>151</v>
      </c>
      <c r="Y46" s="50">
        <f t="shared" ref="Y46:Y57" si="17">+U46+Q46</f>
        <v>18</v>
      </c>
      <c r="Z46" s="158">
        <f t="shared" ref="Z46:Z57" si="18">+Y46/TOTAL_MEASUED_INCOME</f>
        <v>8.6465713942596376E-3</v>
      </c>
      <c r="AA46" s="159">
        <f t="shared" ref="AA46:AA57" si="19">((+R46+V46)/C46)/(+G46+L46)</f>
        <v>2.0571428571428574</v>
      </c>
    </row>
    <row r="47" spans="1:27" x14ac:dyDescent="0.2">
      <c r="A47" s="29"/>
      <c r="B47" s="148" t="s">
        <v>152</v>
      </c>
      <c r="C47" s="149">
        <v>1</v>
      </c>
      <c r="D47" s="12"/>
      <c r="E47" s="162">
        <f t="shared" ref="E47:E57" si="20">+E46</f>
        <v>1.25</v>
      </c>
      <c r="F47" s="149"/>
      <c r="G47" s="151">
        <f t="shared" ref="G47:G57" si="21">+G46</f>
        <v>4</v>
      </c>
      <c r="H47" s="163"/>
      <c r="I47" s="164"/>
      <c r="J47" s="154">
        <f t="shared" ref="J47:J57" si="22">+J46</f>
        <v>0</v>
      </c>
      <c r="K47" s="12"/>
      <c r="L47" s="151">
        <f t="shared" ref="L47:L57" si="23">+L46</f>
        <v>3</v>
      </c>
      <c r="M47" s="388">
        <v>2</v>
      </c>
      <c r="N47" s="389">
        <v>12.3</v>
      </c>
      <c r="O47" s="154">
        <f t="shared" ref="O47:O57" si="24">+O46</f>
        <v>0</v>
      </c>
      <c r="P47" s="12"/>
      <c r="Q47" s="165">
        <f t="shared" si="12"/>
        <v>0</v>
      </c>
      <c r="R47" s="156">
        <f t="shared" si="13"/>
        <v>0</v>
      </c>
      <c r="S47" s="157">
        <f t="shared" si="14"/>
        <v>0</v>
      </c>
      <c r="T47" s="12"/>
      <c r="U47" s="165">
        <f t="shared" ref="U47:U57" si="25">(((+M47+(N47/16))-O47)-((+M46+(N46/16))-O46))*20</f>
        <v>37.375</v>
      </c>
      <c r="V47" s="156">
        <f t="shared" si="15"/>
        <v>29.9</v>
      </c>
      <c r="W47" s="157">
        <f t="shared" si="16"/>
        <v>9.9666666666666668</v>
      </c>
      <c r="X47" s="30" t="s">
        <v>153</v>
      </c>
      <c r="Y47" s="50">
        <f t="shared" si="17"/>
        <v>37.375</v>
      </c>
      <c r="Z47" s="158">
        <f t="shared" si="18"/>
        <v>1.7953644770025218E-2</v>
      </c>
      <c r="AA47" s="159">
        <f t="shared" si="19"/>
        <v>4.2714285714285714</v>
      </c>
    </row>
    <row r="48" spans="1:27" x14ac:dyDescent="0.2">
      <c r="A48" s="29"/>
      <c r="B48" s="148" t="s">
        <v>154</v>
      </c>
      <c r="C48" s="149">
        <v>1</v>
      </c>
      <c r="D48" s="12"/>
      <c r="E48" s="162">
        <f t="shared" si="20"/>
        <v>1.25</v>
      </c>
      <c r="F48" s="149"/>
      <c r="G48" s="151">
        <f t="shared" si="21"/>
        <v>4</v>
      </c>
      <c r="H48" s="163"/>
      <c r="I48" s="164"/>
      <c r="J48" s="154">
        <f t="shared" si="22"/>
        <v>0</v>
      </c>
      <c r="K48" s="12"/>
      <c r="L48" s="151">
        <f t="shared" si="23"/>
        <v>3</v>
      </c>
      <c r="M48" s="388">
        <v>4</v>
      </c>
      <c r="N48" s="389">
        <v>5.4</v>
      </c>
      <c r="O48" s="154">
        <f t="shared" si="24"/>
        <v>0</v>
      </c>
      <c r="P48" s="12"/>
      <c r="Q48" s="165">
        <f t="shared" si="12"/>
        <v>0</v>
      </c>
      <c r="R48" s="156">
        <f t="shared" si="13"/>
        <v>0</v>
      </c>
      <c r="S48" s="157">
        <f t="shared" si="14"/>
        <v>0</v>
      </c>
      <c r="T48" s="12"/>
      <c r="U48" s="165">
        <f t="shared" si="25"/>
        <v>31.375000000000011</v>
      </c>
      <c r="V48" s="156">
        <f t="shared" si="15"/>
        <v>25.100000000000009</v>
      </c>
      <c r="W48" s="157">
        <f t="shared" si="16"/>
        <v>8.3666666666666689</v>
      </c>
      <c r="X48" s="30" t="s">
        <v>155</v>
      </c>
      <c r="Y48" s="50">
        <f t="shared" si="17"/>
        <v>31.375000000000011</v>
      </c>
      <c r="Z48" s="158">
        <f t="shared" si="18"/>
        <v>1.5071454305272012E-2</v>
      </c>
      <c r="AA48" s="159">
        <f t="shared" si="19"/>
        <v>3.5857142857142867</v>
      </c>
    </row>
    <row r="49" spans="1:27" x14ac:dyDescent="0.2">
      <c r="A49" s="29"/>
      <c r="B49" s="12" t="s">
        <v>156</v>
      </c>
      <c r="C49" s="149">
        <v>1</v>
      </c>
      <c r="D49" s="12"/>
      <c r="E49" s="162">
        <f t="shared" si="20"/>
        <v>1.25</v>
      </c>
      <c r="F49" s="149"/>
      <c r="G49" s="151">
        <f t="shared" si="21"/>
        <v>4</v>
      </c>
      <c r="H49" s="163"/>
      <c r="I49" s="164"/>
      <c r="J49" s="154">
        <f t="shared" si="22"/>
        <v>0</v>
      </c>
      <c r="K49" s="12"/>
      <c r="L49" s="151">
        <f t="shared" si="23"/>
        <v>3</v>
      </c>
      <c r="M49" s="388">
        <v>6</v>
      </c>
      <c r="N49" s="389">
        <v>10.5</v>
      </c>
      <c r="O49" s="154">
        <f t="shared" si="24"/>
        <v>0</v>
      </c>
      <c r="P49" s="12"/>
      <c r="Q49" s="165">
        <f t="shared" si="12"/>
        <v>0</v>
      </c>
      <c r="R49" s="156">
        <f t="shared" si="13"/>
        <v>0</v>
      </c>
      <c r="S49" s="157">
        <f t="shared" si="14"/>
        <v>0</v>
      </c>
      <c r="T49" s="12"/>
      <c r="U49" s="165">
        <f t="shared" si="25"/>
        <v>46.374999999999993</v>
      </c>
      <c r="V49" s="156">
        <f t="shared" si="15"/>
        <v>37.099999999999994</v>
      </c>
      <c r="W49" s="157">
        <f t="shared" si="16"/>
        <v>12.366666666666665</v>
      </c>
      <c r="X49" s="30" t="s">
        <v>157</v>
      </c>
      <c r="Y49" s="50">
        <f t="shared" si="17"/>
        <v>46.374999999999993</v>
      </c>
      <c r="Z49" s="158">
        <f t="shared" si="18"/>
        <v>2.2276930467155034E-2</v>
      </c>
      <c r="AA49" s="159">
        <f t="shared" si="19"/>
        <v>5.2999999999999989</v>
      </c>
    </row>
    <row r="50" spans="1:27" x14ac:dyDescent="0.2">
      <c r="A50" s="29"/>
      <c r="B50" s="148" t="s">
        <v>158</v>
      </c>
      <c r="C50" s="149">
        <v>1</v>
      </c>
      <c r="D50" s="12"/>
      <c r="E50" s="162">
        <f t="shared" si="20"/>
        <v>1.25</v>
      </c>
      <c r="F50" s="149"/>
      <c r="G50" s="151">
        <f t="shared" si="21"/>
        <v>4</v>
      </c>
      <c r="H50" s="163"/>
      <c r="I50" s="164"/>
      <c r="J50" s="154">
        <f t="shared" si="22"/>
        <v>0</v>
      </c>
      <c r="K50" s="12"/>
      <c r="L50" s="151">
        <f t="shared" si="23"/>
        <v>3</v>
      </c>
      <c r="M50" s="388">
        <v>8</v>
      </c>
      <c r="N50" s="389">
        <v>1.8</v>
      </c>
      <c r="O50" s="154">
        <f t="shared" si="24"/>
        <v>0</v>
      </c>
      <c r="P50" s="12"/>
      <c r="Q50" s="165">
        <f t="shared" si="12"/>
        <v>0</v>
      </c>
      <c r="R50" s="156">
        <f t="shared" si="13"/>
        <v>0</v>
      </c>
      <c r="S50" s="157">
        <f t="shared" si="14"/>
        <v>0</v>
      </c>
      <c r="T50" s="12"/>
      <c r="U50" s="165">
        <f t="shared" si="25"/>
        <v>29.125000000000014</v>
      </c>
      <c r="V50" s="156">
        <f t="shared" si="15"/>
        <v>23.300000000000011</v>
      </c>
      <c r="W50" s="157">
        <f t="shared" si="16"/>
        <v>7.7666666666666702</v>
      </c>
      <c r="X50" s="30" t="s">
        <v>159</v>
      </c>
      <c r="Y50" s="50">
        <f t="shared" si="17"/>
        <v>29.125000000000014</v>
      </c>
      <c r="Z50" s="158">
        <f t="shared" si="18"/>
        <v>1.3990632880989558E-2</v>
      </c>
      <c r="AA50" s="159">
        <f t="shared" si="19"/>
        <v>3.3285714285714301</v>
      </c>
    </row>
    <row r="51" spans="1:27" x14ac:dyDescent="0.2">
      <c r="A51" s="29"/>
      <c r="B51" s="148" t="s">
        <v>160</v>
      </c>
      <c r="C51" s="149">
        <v>1</v>
      </c>
      <c r="D51" s="12"/>
      <c r="E51" s="162">
        <f t="shared" si="20"/>
        <v>1.25</v>
      </c>
      <c r="F51" s="149"/>
      <c r="G51" s="151">
        <f t="shared" si="21"/>
        <v>4</v>
      </c>
      <c r="H51" s="163"/>
      <c r="I51" s="164"/>
      <c r="J51" s="154">
        <f t="shared" si="22"/>
        <v>0</v>
      </c>
      <c r="K51" s="12"/>
      <c r="L51" s="151">
        <f t="shared" si="23"/>
        <v>3</v>
      </c>
      <c r="M51" s="388">
        <v>10</v>
      </c>
      <c r="N51" s="389">
        <v>7.6</v>
      </c>
      <c r="O51" s="154">
        <f t="shared" si="24"/>
        <v>0</v>
      </c>
      <c r="P51" s="12"/>
      <c r="Q51" s="165">
        <f t="shared" si="12"/>
        <v>0</v>
      </c>
      <c r="R51" s="156">
        <f t="shared" si="13"/>
        <v>0</v>
      </c>
      <c r="S51" s="157">
        <f t="shared" si="14"/>
        <v>0</v>
      </c>
      <c r="T51" s="12"/>
      <c r="U51" s="165">
        <f t="shared" si="25"/>
        <v>47.249999999999979</v>
      </c>
      <c r="V51" s="156">
        <f t="shared" si="15"/>
        <v>37.799999999999983</v>
      </c>
      <c r="W51" s="157">
        <f t="shared" si="16"/>
        <v>12.599999999999994</v>
      </c>
      <c r="X51" s="30" t="s">
        <v>161</v>
      </c>
      <c r="Y51" s="50">
        <f t="shared" si="17"/>
        <v>47.249999999999979</v>
      </c>
      <c r="Z51" s="158">
        <f t="shared" si="18"/>
        <v>2.2697249909931539E-2</v>
      </c>
      <c r="AA51" s="159">
        <f t="shared" si="19"/>
        <v>5.3999999999999977</v>
      </c>
    </row>
    <row r="52" spans="1:27" x14ac:dyDescent="0.2">
      <c r="A52" s="29"/>
      <c r="B52" s="148" t="s">
        <v>162</v>
      </c>
      <c r="C52" s="149">
        <v>1</v>
      </c>
      <c r="D52" s="12"/>
      <c r="E52" s="162">
        <f t="shared" si="20"/>
        <v>1.25</v>
      </c>
      <c r="F52" s="149"/>
      <c r="G52" s="151">
        <f t="shared" si="21"/>
        <v>4</v>
      </c>
      <c r="H52" s="163"/>
      <c r="I52" s="164"/>
      <c r="J52" s="154">
        <f t="shared" si="22"/>
        <v>0</v>
      </c>
      <c r="K52" s="12"/>
      <c r="L52" s="151">
        <f t="shared" si="23"/>
        <v>3</v>
      </c>
      <c r="M52" s="388">
        <v>11</v>
      </c>
      <c r="N52" s="389">
        <v>2.4</v>
      </c>
      <c r="O52" s="154">
        <f t="shared" si="24"/>
        <v>0</v>
      </c>
      <c r="P52" s="12"/>
      <c r="Q52" s="165">
        <f t="shared" si="12"/>
        <v>0</v>
      </c>
      <c r="R52" s="156">
        <f t="shared" si="13"/>
        <v>0</v>
      </c>
      <c r="S52" s="157">
        <f t="shared" si="14"/>
        <v>0</v>
      </c>
      <c r="T52" s="12"/>
      <c r="U52" s="165">
        <f t="shared" si="25"/>
        <v>13.500000000000014</v>
      </c>
      <c r="V52" s="156">
        <f t="shared" si="15"/>
        <v>10.800000000000011</v>
      </c>
      <c r="W52" s="157">
        <f t="shared" si="16"/>
        <v>3.6000000000000036</v>
      </c>
      <c r="X52" s="30" t="s">
        <v>163</v>
      </c>
      <c r="Y52" s="50">
        <f t="shared" si="17"/>
        <v>13.500000000000014</v>
      </c>
      <c r="Z52" s="158">
        <f t="shared" si="18"/>
        <v>6.4849285456947351E-3</v>
      </c>
      <c r="AA52" s="159">
        <f t="shared" si="19"/>
        <v>1.5428571428571445</v>
      </c>
    </row>
    <row r="53" spans="1:27" x14ac:dyDescent="0.2">
      <c r="A53" s="29"/>
      <c r="B53" s="148" t="s">
        <v>164</v>
      </c>
      <c r="C53" s="149">
        <v>1</v>
      </c>
      <c r="D53" s="12"/>
      <c r="E53" s="162">
        <f t="shared" si="20"/>
        <v>1.25</v>
      </c>
      <c r="F53" s="149"/>
      <c r="G53" s="151">
        <f t="shared" si="21"/>
        <v>4</v>
      </c>
      <c r="H53" s="163"/>
      <c r="I53" s="164"/>
      <c r="J53" s="154">
        <f t="shared" si="22"/>
        <v>0</v>
      </c>
      <c r="K53" s="12"/>
      <c r="L53" s="151">
        <f t="shared" si="23"/>
        <v>3</v>
      </c>
      <c r="M53" s="388">
        <v>11</v>
      </c>
      <c r="N53" s="389">
        <v>2.4</v>
      </c>
      <c r="O53" s="154">
        <f t="shared" si="24"/>
        <v>0</v>
      </c>
      <c r="P53" s="12"/>
      <c r="Q53" s="165">
        <f t="shared" si="12"/>
        <v>0</v>
      </c>
      <c r="R53" s="156">
        <f t="shared" si="13"/>
        <v>0</v>
      </c>
      <c r="S53" s="157">
        <f t="shared" si="14"/>
        <v>0</v>
      </c>
      <c r="T53" s="12"/>
      <c r="U53" s="165">
        <f t="shared" si="25"/>
        <v>0</v>
      </c>
      <c r="V53" s="156">
        <f t="shared" si="15"/>
        <v>0</v>
      </c>
      <c r="W53" s="157">
        <f t="shared" si="16"/>
        <v>0</v>
      </c>
      <c r="X53" s="30" t="s">
        <v>165</v>
      </c>
      <c r="Y53" s="50">
        <f t="shared" si="17"/>
        <v>0</v>
      </c>
      <c r="Z53" s="158">
        <f t="shared" si="18"/>
        <v>0</v>
      </c>
      <c r="AA53" s="159">
        <f t="shared" si="19"/>
        <v>0</v>
      </c>
    </row>
    <row r="54" spans="1:27" x14ac:dyDescent="0.2">
      <c r="A54" s="29"/>
      <c r="B54" s="148" t="s">
        <v>166</v>
      </c>
      <c r="C54" s="149">
        <v>1</v>
      </c>
      <c r="D54" s="12"/>
      <c r="E54" s="162">
        <f t="shared" si="20"/>
        <v>1.25</v>
      </c>
      <c r="F54" s="149"/>
      <c r="G54" s="151">
        <f t="shared" si="21"/>
        <v>4</v>
      </c>
      <c r="H54" s="163"/>
      <c r="I54" s="164"/>
      <c r="J54" s="154">
        <f t="shared" si="22"/>
        <v>0</v>
      </c>
      <c r="K54" s="12"/>
      <c r="L54" s="151">
        <f t="shared" si="23"/>
        <v>3</v>
      </c>
      <c r="M54" s="388">
        <v>12</v>
      </c>
      <c r="N54" s="389">
        <v>10.199999999999999</v>
      </c>
      <c r="O54" s="154">
        <f t="shared" si="24"/>
        <v>0</v>
      </c>
      <c r="P54" s="12"/>
      <c r="Q54" s="165">
        <f t="shared" si="12"/>
        <v>0</v>
      </c>
      <c r="R54" s="156">
        <f t="shared" si="13"/>
        <v>0</v>
      </c>
      <c r="S54" s="157">
        <f t="shared" si="14"/>
        <v>0</v>
      </c>
      <c r="T54" s="12"/>
      <c r="U54" s="165">
        <f t="shared" si="25"/>
        <v>29.749999999999979</v>
      </c>
      <c r="V54" s="156">
        <f t="shared" si="15"/>
        <v>23.799999999999983</v>
      </c>
      <c r="W54" s="157">
        <f t="shared" si="16"/>
        <v>7.9333333333333274</v>
      </c>
      <c r="X54" s="30" t="s">
        <v>167</v>
      </c>
      <c r="Y54" s="50">
        <f t="shared" si="17"/>
        <v>29.749999999999979</v>
      </c>
      <c r="Z54" s="158">
        <f t="shared" si="18"/>
        <v>1.4290861054401334E-2</v>
      </c>
      <c r="AA54" s="159">
        <f t="shared" si="19"/>
        <v>3.3999999999999977</v>
      </c>
    </row>
    <row r="55" spans="1:27" x14ac:dyDescent="0.2">
      <c r="A55" s="29"/>
      <c r="B55" s="148" t="s">
        <v>168</v>
      </c>
      <c r="C55" s="149">
        <v>1</v>
      </c>
      <c r="D55" s="12"/>
      <c r="E55" s="162">
        <f t="shared" si="20"/>
        <v>1.25</v>
      </c>
      <c r="F55" s="149"/>
      <c r="G55" s="151">
        <f t="shared" si="21"/>
        <v>4</v>
      </c>
      <c r="H55" s="163"/>
      <c r="I55" s="164"/>
      <c r="J55" s="154">
        <f t="shared" si="22"/>
        <v>0</v>
      </c>
      <c r="K55" s="12"/>
      <c r="L55" s="151">
        <f t="shared" si="23"/>
        <v>3</v>
      </c>
      <c r="M55" s="388">
        <v>14</v>
      </c>
      <c r="N55" s="389">
        <v>10.4</v>
      </c>
      <c r="O55" s="154">
        <f t="shared" si="24"/>
        <v>0</v>
      </c>
      <c r="P55" s="12"/>
      <c r="Q55" s="165">
        <f t="shared" si="12"/>
        <v>0</v>
      </c>
      <c r="R55" s="156">
        <f t="shared" si="13"/>
        <v>0</v>
      </c>
      <c r="S55" s="157">
        <f t="shared" si="14"/>
        <v>0</v>
      </c>
      <c r="T55" s="12"/>
      <c r="U55" s="165">
        <f t="shared" si="25"/>
        <v>40.250000000000021</v>
      </c>
      <c r="V55" s="156">
        <f t="shared" si="15"/>
        <v>32.200000000000017</v>
      </c>
      <c r="W55" s="157">
        <f t="shared" si="16"/>
        <v>10.73333333333334</v>
      </c>
      <c r="X55" s="30" t="s">
        <v>169</v>
      </c>
      <c r="Y55" s="50">
        <f t="shared" si="17"/>
        <v>40.250000000000021</v>
      </c>
      <c r="Z55" s="158">
        <f t="shared" si="18"/>
        <v>1.9334694367719476E-2</v>
      </c>
      <c r="AA55" s="159">
        <f t="shared" si="19"/>
        <v>4.6000000000000023</v>
      </c>
    </row>
    <row r="56" spans="1:27" x14ac:dyDescent="0.2">
      <c r="A56" s="29"/>
      <c r="B56" s="148" t="s">
        <v>170</v>
      </c>
      <c r="C56" s="149">
        <v>1</v>
      </c>
      <c r="D56" s="12"/>
      <c r="E56" s="162">
        <f t="shared" si="20"/>
        <v>1.25</v>
      </c>
      <c r="F56" s="149"/>
      <c r="G56" s="151">
        <f t="shared" si="21"/>
        <v>4</v>
      </c>
      <c r="H56" s="163"/>
      <c r="I56" s="164"/>
      <c r="J56" s="154">
        <f t="shared" si="22"/>
        <v>0</v>
      </c>
      <c r="K56" s="12"/>
      <c r="L56" s="151">
        <f t="shared" si="23"/>
        <v>3</v>
      </c>
      <c r="M56" s="388">
        <v>15</v>
      </c>
      <c r="N56" s="389">
        <v>11.3</v>
      </c>
      <c r="O56" s="154">
        <f t="shared" si="24"/>
        <v>0</v>
      </c>
      <c r="P56" s="12"/>
      <c r="Q56" s="165">
        <f t="shared" si="12"/>
        <v>0</v>
      </c>
      <c r="R56" s="156">
        <f t="shared" si="13"/>
        <v>0</v>
      </c>
      <c r="S56" s="157">
        <f t="shared" si="14"/>
        <v>0</v>
      </c>
      <c r="T56" s="12"/>
      <c r="U56" s="165">
        <f t="shared" si="25"/>
        <v>21.125000000000007</v>
      </c>
      <c r="V56" s="156">
        <f t="shared" si="15"/>
        <v>16.900000000000006</v>
      </c>
      <c r="W56" s="157">
        <f t="shared" si="16"/>
        <v>5.6333333333333355</v>
      </c>
      <c r="X56" s="30" t="s">
        <v>171</v>
      </c>
      <c r="Y56" s="50">
        <f t="shared" si="17"/>
        <v>21.125000000000007</v>
      </c>
      <c r="Z56" s="158">
        <f t="shared" si="18"/>
        <v>1.0147712261318605E-2</v>
      </c>
      <c r="AA56" s="159">
        <f t="shared" si="19"/>
        <v>2.414285714285715</v>
      </c>
    </row>
    <row r="57" spans="1:27" x14ac:dyDescent="0.2">
      <c r="A57" s="29"/>
      <c r="B57" s="148" t="s">
        <v>172</v>
      </c>
      <c r="C57" s="149">
        <v>1</v>
      </c>
      <c r="D57" s="12"/>
      <c r="E57" s="162">
        <f t="shared" si="20"/>
        <v>1.25</v>
      </c>
      <c r="F57" s="149"/>
      <c r="G57" s="151">
        <f t="shared" si="21"/>
        <v>4</v>
      </c>
      <c r="H57" s="163"/>
      <c r="I57" s="171"/>
      <c r="J57" s="154">
        <f t="shared" si="22"/>
        <v>0</v>
      </c>
      <c r="K57" s="12"/>
      <c r="L57" s="151">
        <f t="shared" si="23"/>
        <v>3</v>
      </c>
      <c r="M57" s="388">
        <v>16</v>
      </c>
      <c r="N57" s="389">
        <v>12</v>
      </c>
      <c r="O57" s="154">
        <f t="shared" si="24"/>
        <v>0</v>
      </c>
      <c r="P57" s="12"/>
      <c r="Q57" s="165">
        <f t="shared" si="12"/>
        <v>0</v>
      </c>
      <c r="R57" s="156">
        <f t="shared" si="13"/>
        <v>0</v>
      </c>
      <c r="S57" s="157">
        <f t="shared" si="14"/>
        <v>0</v>
      </c>
      <c r="T57" s="12"/>
      <c r="U57" s="165">
        <f t="shared" si="25"/>
        <v>20.874999999999986</v>
      </c>
      <c r="V57" s="156">
        <f t="shared" si="15"/>
        <v>16.699999999999989</v>
      </c>
      <c r="W57" s="157">
        <f t="shared" si="16"/>
        <v>5.5666666666666629</v>
      </c>
      <c r="X57" s="30" t="s">
        <v>173</v>
      </c>
      <c r="Y57" s="50">
        <f t="shared" si="17"/>
        <v>20.874999999999986</v>
      </c>
      <c r="Z57" s="158">
        <f t="shared" si="18"/>
        <v>1.0027620991953878E-2</v>
      </c>
      <c r="AA57" s="159">
        <f t="shared" si="19"/>
        <v>2.3857142857142839</v>
      </c>
    </row>
    <row r="58" spans="1:27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7.4444444444444438</v>
      </c>
      <c r="X58" s="24"/>
      <c r="Y58" s="50"/>
      <c r="Z58" s="167">
        <f>SUM(Y46:Y57)/TOTAL_MEASUED_INCOME</f>
        <v>0.16092230094872104</v>
      </c>
      <c r="AA58" s="168">
        <f>AVERAGE(AA46:AA57)</f>
        <v>3.1904761904761911</v>
      </c>
    </row>
    <row r="59" spans="1:27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4</v>
      </c>
      <c r="H59" s="163"/>
      <c r="I59" s="171"/>
      <c r="J59" s="154">
        <f>+J57</f>
        <v>0</v>
      </c>
      <c r="K59" s="12"/>
      <c r="L59" s="151">
        <f>+L57</f>
        <v>3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</row>
    <row r="60" spans="1:27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4</v>
      </c>
      <c r="H60" s="163"/>
      <c r="I60" s="171"/>
      <c r="J60" s="154">
        <f>+J58</f>
        <v>0</v>
      </c>
      <c r="K60" s="12"/>
      <c r="L60" s="151">
        <f>+L59</f>
        <v>3</v>
      </c>
      <c r="M60" s="388">
        <v>2</v>
      </c>
      <c r="N60" s="389">
        <v>11.1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26">(((+M60+(N60/16))-O60)-((+M59+(N59/16))-O59))*20</f>
        <v>53.875</v>
      </c>
      <c r="V60" s="156">
        <f>+U60/E60</f>
        <v>30.785714285714285</v>
      </c>
      <c r="W60" s="157">
        <f>(+V60/C60)/L60</f>
        <v>10.261904761904761</v>
      </c>
      <c r="X60" s="30" t="s">
        <v>178</v>
      </c>
      <c r="Y60" s="50">
        <f>+U60+Q60</f>
        <v>53.875</v>
      </c>
      <c r="Z60" s="158">
        <f>+Y60/TOTAL_MEASUED_INCOME</f>
        <v>2.5879668548096552E-2</v>
      </c>
      <c r="AA60" s="159">
        <f>((+R60+V60)/C60)/(+G60+L60)</f>
        <v>4.3979591836734695</v>
      </c>
    </row>
    <row r="61" spans="1:27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4</v>
      </c>
      <c r="H61" s="163"/>
      <c r="I61" s="171"/>
      <c r="J61" s="154">
        <f>+J59</f>
        <v>0</v>
      </c>
      <c r="K61" s="12"/>
      <c r="L61" s="151">
        <f>+L60</f>
        <v>3</v>
      </c>
      <c r="M61" s="388">
        <v>6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26"/>
        <v>71.874999999999986</v>
      </c>
      <c r="V61" s="156">
        <f>+U61/E61</f>
        <v>41.071428571428562</v>
      </c>
      <c r="W61" s="157">
        <f>(+V61/C61)/L61</f>
        <v>13.690476190476188</v>
      </c>
      <c r="X61" s="30" t="s">
        <v>180</v>
      </c>
      <c r="Y61" s="50">
        <f>+U61+Q61</f>
        <v>71.874999999999986</v>
      </c>
      <c r="Z61" s="158">
        <f>+Y61/TOTAL_MEASUED_INCOME</f>
        <v>3.4526239942356186E-2</v>
      </c>
      <c r="AA61" s="159">
        <f>((+R61+V61)/C61)/(+G61+L61)</f>
        <v>5.8673469387755093</v>
      </c>
    </row>
    <row r="62" spans="1:27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4</v>
      </c>
      <c r="H62" s="163"/>
      <c r="I62" s="171"/>
      <c r="J62" s="154">
        <f>+J60</f>
        <v>0</v>
      </c>
      <c r="K62" s="12"/>
      <c r="L62" s="151">
        <f>+L61</f>
        <v>3</v>
      </c>
      <c r="M62" s="388">
        <v>8</v>
      </c>
      <c r="N62" s="389">
        <v>14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26"/>
        <v>51.750000000000007</v>
      </c>
      <c r="V62" s="156">
        <f>+U62/E62</f>
        <v>29.571428571428577</v>
      </c>
      <c r="W62" s="157">
        <f>(+V62/C62)/L62</f>
        <v>9.8571428571428594</v>
      </c>
      <c r="X62" s="30" t="s">
        <v>182</v>
      </c>
      <c r="Y62" s="50">
        <f>+U62+Q62</f>
        <v>51.750000000000007</v>
      </c>
      <c r="Z62" s="158">
        <f>+Y62/TOTAL_MEASUED_INCOME</f>
        <v>2.4858892758496461E-2</v>
      </c>
      <c r="AA62" s="159">
        <f>((+R62+V62)/C62)/(+G62+L62)</f>
        <v>4.2244897959183678</v>
      </c>
    </row>
    <row r="63" spans="1:27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4</v>
      </c>
      <c r="H63" s="173"/>
      <c r="I63" s="174"/>
      <c r="J63" s="154">
        <f>+J61</f>
        <v>0</v>
      </c>
      <c r="L63" s="151">
        <f>+L62</f>
        <v>3</v>
      </c>
      <c r="M63" s="393">
        <v>8</v>
      </c>
      <c r="N63" s="394">
        <v>14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26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</row>
    <row r="64" spans="1:27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6.7619047619047619</v>
      </c>
      <c r="X64" s="30"/>
      <c r="Y64" s="50">
        <f>SUM(Y33:Y63)</f>
        <v>1447.25</v>
      </c>
      <c r="Z64" s="167">
        <f>SUM(Y59:Y63)/TOTAL_MEASUED_INCOME</f>
        <v>8.5264801248949196E-2</v>
      </c>
      <c r="AA64" s="168">
        <f>AVERAGE(AA59:AA63)</f>
        <v>2.8979591836734695</v>
      </c>
    </row>
    <row r="65" spans="1:27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7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7" ht="15.75" x14ac:dyDescent="0.25">
      <c r="A67" s="135">
        <f>+A30</f>
        <v>41902</v>
      </c>
      <c r="B67" s="12"/>
      <c r="C67" s="136">
        <f>+C30</f>
        <v>41905</v>
      </c>
      <c r="D67" s="136">
        <f>+D30</f>
        <v>41908</v>
      </c>
      <c r="E67" s="137">
        <f>+C67-A67+1</f>
        <v>4</v>
      </c>
      <c r="F67" s="51">
        <f>+D67-C67</f>
        <v>3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7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7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497"/>
      <c r="N69" s="498"/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7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4</v>
      </c>
      <c r="H70" s="152"/>
      <c r="I70" s="153"/>
      <c r="J70" s="154">
        <f>+J68</f>
        <v>0</v>
      </c>
      <c r="K70" s="178"/>
      <c r="L70" s="395">
        <f>+F67</f>
        <v>3</v>
      </c>
      <c r="M70" s="396">
        <v>2</v>
      </c>
      <c r="N70" s="397">
        <v>9.4</v>
      </c>
      <c r="O70" s="154">
        <f>+O68</f>
        <v>0</v>
      </c>
      <c r="Q70" s="155">
        <f>((+H70+(I70/16))-J70)*20</f>
        <v>0</v>
      </c>
      <c r="R70" s="191">
        <f t="shared" ref="R70:R79" si="27">+Q70/E70</f>
        <v>0</v>
      </c>
      <c r="S70" s="192">
        <f t="shared" ref="S70:S79" si="28">((+Q70/+E70)*F70)/G70</f>
        <v>0</v>
      </c>
      <c r="U70" s="385">
        <f>((+M70+(N70/16))-O70)*20</f>
        <v>51.75</v>
      </c>
      <c r="V70" s="156">
        <f t="shared" ref="V70:V79" si="29">+U70/E70</f>
        <v>207</v>
      </c>
      <c r="W70" s="192">
        <f t="shared" ref="W70:W79" si="30">((+U70/+E70)*F70)/(L70+G70)</f>
        <v>207</v>
      </c>
      <c r="X70" s="193">
        <f>+X67*60</f>
        <v>840</v>
      </c>
      <c r="Y70" s="50">
        <f t="shared" ref="Y70:Y79" si="31">+U70+Q70</f>
        <v>51.75</v>
      </c>
      <c r="Z70" s="158">
        <f t="shared" ref="Z70:Z79" si="32">+Y70/TOTAL_MEASUED_INCOME</f>
        <v>2.4858892758496457E-2</v>
      </c>
      <c r="AA70" s="194">
        <f t="shared" ref="AA70:AA79" si="33">((+V70+R70)*F70)/(+X70*7)</f>
        <v>0.24642857142857144</v>
      </c>
    </row>
    <row r="71" spans="1:27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4">+G70</f>
        <v>4</v>
      </c>
      <c r="H71" s="163"/>
      <c r="I71" s="164"/>
      <c r="J71" s="154">
        <f t="shared" ref="J71:J79" si="35">+J70</f>
        <v>0</v>
      </c>
      <c r="K71" s="178"/>
      <c r="L71" s="395">
        <f t="shared" ref="L71:L79" si="36">+L70</f>
        <v>3</v>
      </c>
      <c r="M71" s="398">
        <v>3</v>
      </c>
      <c r="N71" s="389">
        <v>6.3</v>
      </c>
      <c r="O71" s="154">
        <f t="shared" ref="O71:O81" si="37">+O70</f>
        <v>0</v>
      </c>
      <c r="Q71" s="165">
        <f>(((+H71+(I71/16))-J71)-((+H70+(I70/16))-J70))*20</f>
        <v>0</v>
      </c>
      <c r="R71" s="191">
        <f t="shared" si="27"/>
        <v>0</v>
      </c>
      <c r="S71" s="192">
        <f t="shared" si="28"/>
        <v>0</v>
      </c>
      <c r="U71" s="165">
        <f t="shared" ref="U71:U79" si="38">(((+M71+(N71/16))-O71)-((+M70+(N70/16))-O70))*20</f>
        <v>16.125</v>
      </c>
      <c r="V71" s="156">
        <f t="shared" si="29"/>
        <v>64.5</v>
      </c>
      <c r="W71" s="192">
        <f t="shared" si="30"/>
        <v>64.5</v>
      </c>
      <c r="X71" s="193">
        <f t="shared" ref="X71:X79" si="39">+X70</f>
        <v>840</v>
      </c>
      <c r="Y71" s="50">
        <f t="shared" si="31"/>
        <v>16.125</v>
      </c>
      <c r="Z71" s="158">
        <f t="shared" si="32"/>
        <v>7.7458868740242588E-3</v>
      </c>
      <c r="AA71" s="194">
        <f t="shared" si="33"/>
        <v>7.678571428571429E-2</v>
      </c>
    </row>
    <row r="72" spans="1:27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4"/>
        <v>4</v>
      </c>
      <c r="H72" s="163"/>
      <c r="I72" s="164"/>
      <c r="J72" s="154">
        <f t="shared" si="35"/>
        <v>0</v>
      </c>
      <c r="K72" s="178"/>
      <c r="L72" s="395">
        <f t="shared" si="36"/>
        <v>3</v>
      </c>
      <c r="M72" s="398">
        <v>5</v>
      </c>
      <c r="N72" s="389">
        <v>11.7</v>
      </c>
      <c r="O72" s="154">
        <f t="shared" si="37"/>
        <v>0</v>
      </c>
      <c r="Q72" s="155">
        <f>((+H72+(I72/16))-J72)*20</f>
        <v>0</v>
      </c>
      <c r="R72" s="191">
        <f t="shared" si="27"/>
        <v>0</v>
      </c>
      <c r="S72" s="192">
        <f t="shared" si="28"/>
        <v>0</v>
      </c>
      <c r="U72" s="165">
        <f t="shared" si="38"/>
        <v>46.750000000000007</v>
      </c>
      <c r="V72" s="156">
        <f t="shared" si="29"/>
        <v>187.00000000000003</v>
      </c>
      <c r="W72" s="192">
        <f t="shared" si="30"/>
        <v>187.00000000000003</v>
      </c>
      <c r="X72" s="193">
        <f t="shared" si="39"/>
        <v>840</v>
      </c>
      <c r="Y72" s="50">
        <f t="shared" si="31"/>
        <v>46.750000000000007</v>
      </c>
      <c r="Z72" s="158">
        <f t="shared" si="32"/>
        <v>2.2457067371202118E-2</v>
      </c>
      <c r="AA72" s="194">
        <f t="shared" si="33"/>
        <v>0.22261904761904766</v>
      </c>
    </row>
    <row r="73" spans="1:27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4"/>
        <v>4</v>
      </c>
      <c r="H73" s="163"/>
      <c r="I73" s="164"/>
      <c r="J73" s="154">
        <f t="shared" si="35"/>
        <v>0</v>
      </c>
      <c r="K73" s="178"/>
      <c r="L73" s="395">
        <f t="shared" si="36"/>
        <v>3</v>
      </c>
      <c r="M73" s="398">
        <v>6</v>
      </c>
      <c r="N73" s="389">
        <v>9.6</v>
      </c>
      <c r="O73" s="154">
        <f t="shared" si="37"/>
        <v>0</v>
      </c>
      <c r="Q73" s="165">
        <f t="shared" ref="Q73:Q78" si="40">(((+H73+(I73/16))-J73)-((+H72+(I72/16))-J72))*20</f>
        <v>0</v>
      </c>
      <c r="R73" s="191">
        <f t="shared" si="27"/>
        <v>0</v>
      </c>
      <c r="S73" s="192">
        <f t="shared" si="28"/>
        <v>0</v>
      </c>
      <c r="U73" s="165">
        <f t="shared" si="38"/>
        <v>17.374999999999989</v>
      </c>
      <c r="V73" s="156">
        <f t="shared" si="29"/>
        <v>69.499999999999957</v>
      </c>
      <c r="W73" s="192">
        <f t="shared" si="30"/>
        <v>69.499999999999957</v>
      </c>
      <c r="X73" s="193">
        <f t="shared" si="39"/>
        <v>840</v>
      </c>
      <c r="Y73" s="50">
        <f t="shared" si="31"/>
        <v>17.374999999999989</v>
      </c>
      <c r="Z73" s="158">
        <f t="shared" si="32"/>
        <v>8.3463432208478391E-3</v>
      </c>
      <c r="AA73" s="194">
        <f t="shared" si="33"/>
        <v>8.2738095238095194E-2</v>
      </c>
    </row>
    <row r="74" spans="1:27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4"/>
        <v>4</v>
      </c>
      <c r="H74" s="163"/>
      <c r="I74" s="164"/>
      <c r="J74" s="154">
        <f t="shared" si="35"/>
        <v>0</v>
      </c>
      <c r="K74" s="178"/>
      <c r="L74" s="395">
        <f t="shared" si="36"/>
        <v>3</v>
      </c>
      <c r="M74" s="398">
        <v>8</v>
      </c>
      <c r="N74" s="389">
        <v>8.8000000000000007</v>
      </c>
      <c r="O74" s="154">
        <f t="shared" si="37"/>
        <v>0</v>
      </c>
      <c r="Q74" s="165">
        <f t="shared" si="40"/>
        <v>0</v>
      </c>
      <c r="R74" s="191">
        <f t="shared" si="27"/>
        <v>0</v>
      </c>
      <c r="S74" s="192">
        <f t="shared" si="28"/>
        <v>0</v>
      </c>
      <c r="U74" s="165">
        <f t="shared" si="38"/>
        <v>39.000000000000021</v>
      </c>
      <c r="V74" s="156">
        <f t="shared" si="29"/>
        <v>156.00000000000009</v>
      </c>
      <c r="W74" s="192">
        <f t="shared" si="30"/>
        <v>156.00000000000009</v>
      </c>
      <c r="X74" s="193">
        <f t="shared" si="39"/>
        <v>840</v>
      </c>
      <c r="Y74" s="50">
        <f t="shared" si="31"/>
        <v>39.000000000000021</v>
      </c>
      <c r="Z74" s="158">
        <f t="shared" si="32"/>
        <v>1.8734238020895889E-2</v>
      </c>
      <c r="AA74" s="194">
        <f t="shared" si="33"/>
        <v>0.18571428571428583</v>
      </c>
    </row>
    <row r="75" spans="1:27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4"/>
        <v>4</v>
      </c>
      <c r="H75" s="163"/>
      <c r="I75" s="164"/>
      <c r="J75" s="154">
        <f t="shared" si="35"/>
        <v>0</v>
      </c>
      <c r="K75" s="178"/>
      <c r="L75" s="395">
        <f t="shared" si="36"/>
        <v>3</v>
      </c>
      <c r="M75" s="398">
        <v>9</v>
      </c>
      <c r="N75" s="389">
        <v>5.3</v>
      </c>
      <c r="O75" s="154">
        <f t="shared" si="37"/>
        <v>0</v>
      </c>
      <c r="Q75" s="165">
        <f t="shared" si="40"/>
        <v>0</v>
      </c>
      <c r="R75" s="191">
        <f t="shared" si="27"/>
        <v>0</v>
      </c>
      <c r="S75" s="192">
        <f t="shared" si="28"/>
        <v>0</v>
      </c>
      <c r="U75" s="165">
        <f t="shared" si="38"/>
        <v>15.625</v>
      </c>
      <c r="V75" s="156">
        <f t="shared" si="29"/>
        <v>62.5</v>
      </c>
      <c r="W75" s="192">
        <f t="shared" si="30"/>
        <v>62.5</v>
      </c>
      <c r="X75" s="193">
        <f t="shared" si="39"/>
        <v>840</v>
      </c>
      <c r="Y75" s="50">
        <f t="shared" si="31"/>
        <v>15.625</v>
      </c>
      <c r="Z75" s="158">
        <f t="shared" si="32"/>
        <v>7.5057043352948242E-3</v>
      </c>
      <c r="AA75" s="194">
        <f t="shared" si="33"/>
        <v>7.4404761904761904E-2</v>
      </c>
    </row>
    <row r="76" spans="1:27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4"/>
        <v>4</v>
      </c>
      <c r="H76" s="163"/>
      <c r="I76" s="164"/>
      <c r="J76" s="154">
        <f t="shared" si="35"/>
        <v>0</v>
      </c>
      <c r="K76" s="178"/>
      <c r="L76" s="395">
        <f t="shared" si="36"/>
        <v>3</v>
      </c>
      <c r="M76" s="398">
        <v>11</v>
      </c>
      <c r="N76" s="389">
        <v>1.4</v>
      </c>
      <c r="O76" s="154">
        <f t="shared" si="37"/>
        <v>0</v>
      </c>
      <c r="Q76" s="165">
        <f t="shared" si="40"/>
        <v>0</v>
      </c>
      <c r="R76" s="191">
        <f t="shared" si="27"/>
        <v>0</v>
      </c>
      <c r="S76" s="192">
        <f t="shared" si="28"/>
        <v>0</v>
      </c>
      <c r="U76" s="165">
        <f t="shared" si="38"/>
        <v>35.124999999999993</v>
      </c>
      <c r="V76" s="156">
        <f t="shared" si="29"/>
        <v>140.49999999999997</v>
      </c>
      <c r="W76" s="192">
        <f t="shared" si="30"/>
        <v>140.49999999999997</v>
      </c>
      <c r="X76" s="193">
        <f t="shared" si="39"/>
        <v>840</v>
      </c>
      <c r="Y76" s="50">
        <f t="shared" si="31"/>
        <v>35.124999999999993</v>
      </c>
      <c r="Z76" s="158">
        <f t="shared" si="32"/>
        <v>1.6872823345742759E-2</v>
      </c>
      <c r="AA76" s="194">
        <f t="shared" si="33"/>
        <v>0.16726190476190472</v>
      </c>
    </row>
    <row r="77" spans="1:27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4"/>
        <v>4</v>
      </c>
      <c r="H77" s="163"/>
      <c r="I77" s="164"/>
      <c r="J77" s="154">
        <f t="shared" si="35"/>
        <v>0</v>
      </c>
      <c r="K77" s="178"/>
      <c r="L77" s="395">
        <f t="shared" si="36"/>
        <v>3</v>
      </c>
      <c r="M77" s="398">
        <v>11</v>
      </c>
      <c r="N77" s="389">
        <v>14.9</v>
      </c>
      <c r="O77" s="154">
        <f t="shared" si="37"/>
        <v>0</v>
      </c>
      <c r="Q77" s="165">
        <f t="shared" si="40"/>
        <v>0</v>
      </c>
      <c r="R77" s="191">
        <f t="shared" si="27"/>
        <v>0</v>
      </c>
      <c r="S77" s="192">
        <f t="shared" si="28"/>
        <v>0</v>
      </c>
      <c r="U77" s="165">
        <f t="shared" si="38"/>
        <v>16.875</v>
      </c>
      <c r="V77" s="156">
        <f t="shared" si="29"/>
        <v>67.5</v>
      </c>
      <c r="W77" s="192">
        <f t="shared" si="30"/>
        <v>67.5</v>
      </c>
      <c r="X77" s="193">
        <f t="shared" si="39"/>
        <v>840</v>
      </c>
      <c r="Y77" s="50">
        <f t="shared" si="31"/>
        <v>16.875</v>
      </c>
      <c r="Z77" s="158">
        <f t="shared" si="32"/>
        <v>8.1061606821184098E-3</v>
      </c>
      <c r="AA77" s="194">
        <f t="shared" si="33"/>
        <v>8.0357142857142863E-2</v>
      </c>
    </row>
    <row r="78" spans="1:27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4"/>
        <v>4</v>
      </c>
      <c r="H78" s="163"/>
      <c r="I78" s="164"/>
      <c r="J78" s="154">
        <f t="shared" si="35"/>
        <v>0</v>
      </c>
      <c r="K78" s="178"/>
      <c r="L78" s="395">
        <f t="shared" si="36"/>
        <v>3</v>
      </c>
      <c r="M78" s="398">
        <v>14</v>
      </c>
      <c r="N78" s="389">
        <v>0.9</v>
      </c>
      <c r="O78" s="154">
        <f t="shared" si="37"/>
        <v>0</v>
      </c>
      <c r="Q78" s="165">
        <f t="shared" si="40"/>
        <v>0</v>
      </c>
      <c r="R78" s="191">
        <f t="shared" si="27"/>
        <v>0</v>
      </c>
      <c r="S78" s="192">
        <f t="shared" si="28"/>
        <v>0</v>
      </c>
      <c r="U78" s="165">
        <f t="shared" si="38"/>
        <v>42.5</v>
      </c>
      <c r="V78" s="156">
        <f t="shared" si="29"/>
        <v>170</v>
      </c>
      <c r="W78" s="192">
        <f t="shared" si="30"/>
        <v>170</v>
      </c>
      <c r="X78" s="193">
        <f t="shared" si="39"/>
        <v>840</v>
      </c>
      <c r="Y78" s="50">
        <f t="shared" si="31"/>
        <v>42.5</v>
      </c>
      <c r="Z78" s="158">
        <f t="shared" si="32"/>
        <v>2.0415515792001921E-2</v>
      </c>
      <c r="AA78" s="194">
        <f t="shared" si="33"/>
        <v>0.20238095238095238</v>
      </c>
    </row>
    <row r="79" spans="1:27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4"/>
        <v>4</v>
      </c>
      <c r="H79" s="163"/>
      <c r="I79" s="164"/>
      <c r="J79" s="154">
        <f t="shared" si="35"/>
        <v>0</v>
      </c>
      <c r="K79" s="178"/>
      <c r="L79" s="395">
        <f t="shared" si="36"/>
        <v>3</v>
      </c>
      <c r="M79" s="398">
        <v>15</v>
      </c>
      <c r="N79" s="389">
        <v>2.7</v>
      </c>
      <c r="O79" s="154">
        <f t="shared" si="37"/>
        <v>0</v>
      </c>
      <c r="Q79" s="155">
        <f>((+H79+(I79/16))-J79)*20</f>
        <v>0</v>
      </c>
      <c r="R79" s="191">
        <f t="shared" si="27"/>
        <v>0</v>
      </c>
      <c r="S79" s="192">
        <f t="shared" si="28"/>
        <v>0</v>
      </c>
      <c r="U79" s="165">
        <f t="shared" si="38"/>
        <v>22.249999999999979</v>
      </c>
      <c r="V79" s="156">
        <f t="shared" si="29"/>
        <v>88.999999999999915</v>
      </c>
      <c r="W79" s="192">
        <f t="shared" si="30"/>
        <v>88.999999999999915</v>
      </c>
      <c r="X79" s="193">
        <f t="shared" si="39"/>
        <v>840</v>
      </c>
      <c r="Y79" s="50">
        <f t="shared" si="31"/>
        <v>22.249999999999979</v>
      </c>
      <c r="Z79" s="158">
        <f t="shared" si="32"/>
        <v>1.0688122973459819E-2</v>
      </c>
      <c r="AA79" s="194">
        <f t="shared" si="33"/>
        <v>0.10595238095238085</v>
      </c>
    </row>
    <row r="80" spans="1:27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0.14573075537408431</v>
      </c>
      <c r="AA80" s="194"/>
    </row>
    <row r="81" spans="1:27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4</v>
      </c>
      <c r="H81" s="163"/>
      <c r="I81" s="164"/>
      <c r="J81" s="154">
        <f>+J79</f>
        <v>0</v>
      </c>
      <c r="K81" s="178"/>
      <c r="L81" s="395">
        <f>+L79</f>
        <v>3</v>
      </c>
      <c r="M81" s="398">
        <v>0</v>
      </c>
      <c r="N81" s="389">
        <v>13.4</v>
      </c>
      <c r="O81" s="154">
        <f t="shared" si="37"/>
        <v>0</v>
      </c>
      <c r="Q81" s="165">
        <f>((+H81+(I81/16))-J81)*20</f>
        <v>0</v>
      </c>
      <c r="R81" s="191">
        <f t="shared" ref="R81:R86" si="41">+Q81/E81</f>
        <v>0</v>
      </c>
      <c r="S81" s="192">
        <f t="shared" ref="S81:S86" si="42">((+Q81/+E81)*F81)/G81</f>
        <v>0</v>
      </c>
      <c r="U81" s="385">
        <f>((+M81+(N81/16))-O81)*20</f>
        <v>16.75</v>
      </c>
      <c r="V81" s="156">
        <f t="shared" ref="V81:V86" si="43">+U81/E81</f>
        <v>67</v>
      </c>
      <c r="W81" s="192">
        <f t="shared" ref="W81:W86" si="44">((+U81/+E81)*F81)/(L81+G81)</f>
        <v>71.785714285714292</v>
      </c>
      <c r="X81" s="193">
        <f>+X79</f>
        <v>840</v>
      </c>
      <c r="Y81" s="50">
        <f t="shared" ref="Y81:Y86" si="45">+U81+Q81</f>
        <v>16.75</v>
      </c>
      <c r="Z81" s="158">
        <f t="shared" ref="Z81:Z86" si="46">+Y81/TOTAL_MEASUED_INCOME</f>
        <v>8.0461150474360511E-3</v>
      </c>
      <c r="AA81" s="194">
        <f t="shared" ref="AA81:AA86" si="47">((+V81+R81)*F81)/(+X81*7)</f>
        <v>8.5459183673469385E-2</v>
      </c>
    </row>
    <row r="82" spans="1:27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4</v>
      </c>
      <c r="H82" s="163"/>
      <c r="I82" s="164"/>
      <c r="J82" s="154">
        <f>+J81</f>
        <v>0</v>
      </c>
      <c r="K82" s="178"/>
      <c r="L82" s="395">
        <f>+L81</f>
        <v>3</v>
      </c>
      <c r="M82" s="398">
        <v>1</v>
      </c>
      <c r="N82" s="389">
        <v>12.7</v>
      </c>
      <c r="O82" s="154">
        <f>+O81</f>
        <v>0</v>
      </c>
      <c r="Q82" s="165">
        <f>(((+H82+(I82/16))-J82)-((+H81+(I81/16))-J81))*20</f>
        <v>0</v>
      </c>
      <c r="R82" s="191">
        <f t="shared" si="41"/>
        <v>0</v>
      </c>
      <c r="S82" s="192">
        <f t="shared" si="42"/>
        <v>0</v>
      </c>
      <c r="U82" s="165">
        <f>(((+M82+(N82/16))-O82)-((+M81+(N81/16))-O81))*20</f>
        <v>19.125</v>
      </c>
      <c r="V82" s="156">
        <f t="shared" si="43"/>
        <v>76.5</v>
      </c>
      <c r="W82" s="192">
        <f t="shared" si="44"/>
        <v>81.964285714285708</v>
      </c>
      <c r="X82" s="193">
        <f>+X81</f>
        <v>840</v>
      </c>
      <c r="Y82" s="50">
        <f t="shared" si="45"/>
        <v>19.125</v>
      </c>
      <c r="Z82" s="158">
        <f t="shared" si="46"/>
        <v>9.1869821064008653E-3</v>
      </c>
      <c r="AA82" s="194">
        <f t="shared" si="47"/>
        <v>9.7576530612244902E-2</v>
      </c>
    </row>
    <row r="83" spans="1:27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4</v>
      </c>
      <c r="H83" s="163"/>
      <c r="I83" s="164"/>
      <c r="J83" s="154">
        <f>+J82</f>
        <v>0</v>
      </c>
      <c r="K83" s="178"/>
      <c r="L83" s="395">
        <f>+L82</f>
        <v>3</v>
      </c>
      <c r="M83" s="398">
        <v>2</v>
      </c>
      <c r="N83" s="389">
        <v>10.199999999999999</v>
      </c>
      <c r="O83" s="154">
        <f>+O82</f>
        <v>0</v>
      </c>
      <c r="Q83" s="165">
        <f>(((+H83+(I83/16))-J83)-((+H82+(I82/16))-J82))*20</f>
        <v>0</v>
      </c>
      <c r="R83" s="191">
        <f t="shared" si="41"/>
        <v>0</v>
      </c>
      <c r="S83" s="192">
        <f t="shared" si="42"/>
        <v>0</v>
      </c>
      <c r="U83" s="165">
        <f>(((+M83+(N83/16))-O83)-((+M82+(N82/16))-O82))*20</f>
        <v>16.875000000000004</v>
      </c>
      <c r="V83" s="156">
        <f t="shared" si="43"/>
        <v>67.500000000000014</v>
      </c>
      <c r="W83" s="192">
        <f t="shared" si="44"/>
        <v>72.321428571428584</v>
      </c>
      <c r="X83" s="193">
        <f>+X82</f>
        <v>840</v>
      </c>
      <c r="Y83" s="50">
        <f t="shared" si="45"/>
        <v>16.875000000000004</v>
      </c>
      <c r="Z83" s="158">
        <f t="shared" si="46"/>
        <v>8.1061606821184115E-3</v>
      </c>
      <c r="AA83" s="194">
        <f t="shared" si="47"/>
        <v>8.6096938775510223E-2</v>
      </c>
    </row>
    <row r="84" spans="1:27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4</v>
      </c>
      <c r="H84" s="163"/>
      <c r="I84" s="164"/>
      <c r="J84" s="154">
        <f>+J83</f>
        <v>0</v>
      </c>
      <c r="K84" s="178"/>
      <c r="L84" s="395">
        <f>+L83</f>
        <v>3</v>
      </c>
      <c r="M84" s="398">
        <v>3</v>
      </c>
      <c r="N84" s="389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41"/>
        <v>0</v>
      </c>
      <c r="S84" s="192">
        <f t="shared" si="42"/>
        <v>0</v>
      </c>
      <c r="U84" s="165">
        <f>(((+M84+(N84/16))-O84)-((+M83+(N83/16))-O83))*20</f>
        <v>12.374999999999998</v>
      </c>
      <c r="V84" s="156">
        <f t="shared" si="43"/>
        <v>49.499999999999993</v>
      </c>
      <c r="W84" s="192">
        <f t="shared" si="44"/>
        <v>53.035714285714278</v>
      </c>
      <c r="X84" s="193">
        <f>+X83</f>
        <v>840</v>
      </c>
      <c r="Y84" s="50">
        <f t="shared" si="45"/>
        <v>12.374999999999998</v>
      </c>
      <c r="Z84" s="158">
        <f t="shared" si="46"/>
        <v>5.9445178335534995E-3</v>
      </c>
      <c r="AA84" s="194">
        <f t="shared" si="47"/>
        <v>6.313775510204081E-2</v>
      </c>
    </row>
    <row r="85" spans="1:27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4</v>
      </c>
      <c r="H85" s="163"/>
      <c r="I85" s="164"/>
      <c r="J85" s="154">
        <f>+J84</f>
        <v>0</v>
      </c>
      <c r="K85" s="178"/>
      <c r="L85" s="395">
        <f>+L84</f>
        <v>3</v>
      </c>
      <c r="M85" s="398">
        <v>3</v>
      </c>
      <c r="N85" s="389">
        <v>11.4</v>
      </c>
      <c r="O85" s="154">
        <f>+O84</f>
        <v>0</v>
      </c>
      <c r="Q85" s="165">
        <f>(((+H85+(I85/16))-J85)-((+H84+(I84/16))-J84))*20</f>
        <v>0</v>
      </c>
      <c r="R85" s="191">
        <f t="shared" si="41"/>
        <v>0</v>
      </c>
      <c r="S85" s="192">
        <f t="shared" si="42"/>
        <v>0</v>
      </c>
      <c r="U85" s="165">
        <f>(((+M85+(N85/16))-O85)-((+M84+(N84/16))-O84))*20</f>
        <v>9.1249999999999964</v>
      </c>
      <c r="V85" s="156">
        <f t="shared" si="43"/>
        <v>36.499999999999986</v>
      </c>
      <c r="W85" s="192">
        <f t="shared" si="44"/>
        <v>39.10714285714284</v>
      </c>
      <c r="X85" s="193">
        <f>+X84</f>
        <v>840</v>
      </c>
      <c r="Y85" s="50">
        <f t="shared" si="45"/>
        <v>9.1249999999999964</v>
      </c>
      <c r="Z85" s="158">
        <f t="shared" si="46"/>
        <v>4.3833313318121757E-3</v>
      </c>
      <c r="AA85" s="194">
        <f t="shared" si="47"/>
        <v>4.6556122448979574E-2</v>
      </c>
    </row>
    <row r="86" spans="1:27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4</v>
      </c>
      <c r="H86" s="163"/>
      <c r="I86" s="164"/>
      <c r="J86" s="154">
        <f>+J85</f>
        <v>0</v>
      </c>
      <c r="K86" s="178"/>
      <c r="L86" s="395">
        <f>+L85</f>
        <v>3</v>
      </c>
      <c r="M86" s="398">
        <v>4</v>
      </c>
      <c r="N86" s="389">
        <v>2.9</v>
      </c>
      <c r="O86" s="154">
        <f>+O85</f>
        <v>0</v>
      </c>
      <c r="Q86" s="165">
        <f>(((+H86+(I86/16))-J86)-((+H85+(I85/16))-J85))*20</f>
        <v>0</v>
      </c>
      <c r="R86" s="191">
        <f t="shared" si="41"/>
        <v>0</v>
      </c>
      <c r="S86" s="192">
        <f t="shared" si="42"/>
        <v>0</v>
      </c>
      <c r="U86" s="165">
        <f>(((+M86+(N86/16))-O86)-((+M85+(N85/16))-O85))*20</f>
        <v>9.3750000000000089</v>
      </c>
      <c r="V86" s="156">
        <f t="shared" si="43"/>
        <v>37.500000000000036</v>
      </c>
      <c r="W86" s="192">
        <f t="shared" si="44"/>
        <v>40.178571428571466</v>
      </c>
      <c r="X86" s="193">
        <f>+X85</f>
        <v>840</v>
      </c>
      <c r="Y86" s="50">
        <f t="shared" si="45"/>
        <v>9.3750000000000089</v>
      </c>
      <c r="Z86" s="158">
        <f t="shared" si="46"/>
        <v>4.503422601176899E-3</v>
      </c>
      <c r="AA86" s="194">
        <f t="shared" si="47"/>
        <v>4.7831632653061271E-2</v>
      </c>
    </row>
    <row r="87" spans="1:27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4.0170529602497902E-2</v>
      </c>
      <c r="AA87" s="194"/>
    </row>
    <row r="88" spans="1:27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4</v>
      </c>
      <c r="H88" s="163"/>
      <c r="I88" s="164"/>
      <c r="J88" s="154">
        <f>+J86</f>
        <v>0</v>
      </c>
      <c r="K88" s="178"/>
      <c r="L88" s="395">
        <f>+L86</f>
        <v>3</v>
      </c>
      <c r="M88" s="398">
        <v>1</v>
      </c>
      <c r="N88" s="389">
        <v>15.2</v>
      </c>
      <c r="O88" s="154">
        <f>+O86</f>
        <v>0</v>
      </c>
      <c r="Q88" s="165">
        <f>((+H88+(I88/16))-J88)*20</f>
        <v>0</v>
      </c>
      <c r="R88" s="191">
        <f t="shared" ref="R88:R101" si="48">+Q88/E88</f>
        <v>0</v>
      </c>
      <c r="S88" s="192">
        <f t="shared" ref="S88:S101" si="49">((+Q88/+E88)*F88)/G88</f>
        <v>0</v>
      </c>
      <c r="U88" s="385">
        <f>((+M88+(N88/16))-O88)*20</f>
        <v>39</v>
      </c>
      <c r="V88" s="156">
        <f t="shared" ref="V88:V101" si="50">+U88/E88</f>
        <v>156</v>
      </c>
      <c r="W88" s="192">
        <f t="shared" ref="W88:W101" si="51">((+U88/+E88)*F88)/(L88+G88)</f>
        <v>156</v>
      </c>
      <c r="X88" s="193">
        <f>+X86</f>
        <v>840</v>
      </c>
      <c r="Y88" s="50">
        <f t="shared" ref="Y88:Y101" si="52">+U88+Q88</f>
        <v>39</v>
      </c>
      <c r="Z88" s="158">
        <f t="shared" ref="Z88:Z101" si="53">+Y88/TOTAL_MEASUED_INCOME</f>
        <v>1.8734238020895883E-2</v>
      </c>
      <c r="AA88" s="194">
        <f t="shared" ref="AA88:AA101" si="54">((+V88+R88)*F88)/(+X88*7)</f>
        <v>0.18571428571428572</v>
      </c>
    </row>
    <row r="89" spans="1:27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5">+G88</f>
        <v>4</v>
      </c>
      <c r="H89" s="163"/>
      <c r="I89" s="164"/>
      <c r="J89" s="154">
        <f t="shared" ref="J89:J101" si="56">+J88</f>
        <v>0</v>
      </c>
      <c r="K89" s="178"/>
      <c r="L89" s="395">
        <f t="shared" ref="L89:L101" si="57">+L88</f>
        <v>3</v>
      </c>
      <c r="M89" s="398">
        <v>2</v>
      </c>
      <c r="N89" s="389">
        <v>14.4</v>
      </c>
      <c r="O89" s="154">
        <f>+O88</f>
        <v>0</v>
      </c>
      <c r="Q89" s="165">
        <f t="shared" ref="Q89:Q101" si="58">(((+H89+(I89/16))-J89)-((+H88+(I88/16))-J88))*20</f>
        <v>0</v>
      </c>
      <c r="R89" s="191">
        <f t="shared" si="48"/>
        <v>0</v>
      </c>
      <c r="S89" s="192">
        <f t="shared" si="49"/>
        <v>0</v>
      </c>
      <c r="U89" s="165">
        <f>(((+M89+(N89/16))-O89)-((+M88+(N88/16))-O88))*20</f>
        <v>19</v>
      </c>
      <c r="V89" s="156">
        <f t="shared" si="50"/>
        <v>76</v>
      </c>
      <c r="W89" s="192">
        <f t="shared" si="51"/>
        <v>76</v>
      </c>
      <c r="X89" s="193">
        <f t="shared" ref="X89:X101" si="59">+X88</f>
        <v>840</v>
      </c>
      <c r="Y89" s="50">
        <f t="shared" si="52"/>
        <v>19</v>
      </c>
      <c r="Z89" s="158">
        <f t="shared" si="53"/>
        <v>9.1269364717185067E-3</v>
      </c>
      <c r="AA89" s="194">
        <f t="shared" si="54"/>
        <v>9.0476190476190474E-2</v>
      </c>
    </row>
    <row r="90" spans="1:27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5"/>
        <v>4</v>
      </c>
      <c r="H90" s="163"/>
      <c r="I90" s="164"/>
      <c r="J90" s="154">
        <f t="shared" si="56"/>
        <v>0</v>
      </c>
      <c r="K90" s="178"/>
      <c r="L90" s="395">
        <f t="shared" si="57"/>
        <v>3</v>
      </c>
      <c r="M90" s="398">
        <v>3</v>
      </c>
      <c r="N90" s="389">
        <v>14</v>
      </c>
      <c r="O90" s="154">
        <f t="shared" ref="O90:O101" si="60">+O89</f>
        <v>0</v>
      </c>
      <c r="Q90" s="165">
        <f t="shared" si="58"/>
        <v>0</v>
      </c>
      <c r="R90" s="191">
        <f t="shared" si="48"/>
        <v>0</v>
      </c>
      <c r="S90" s="192">
        <f t="shared" si="49"/>
        <v>0</v>
      </c>
      <c r="U90" s="165">
        <f>(((+M90+(N90/16))-O90)-((+M89+(N89/16))-O89))*20</f>
        <v>19.5</v>
      </c>
      <c r="V90" s="156">
        <f t="shared" si="50"/>
        <v>78</v>
      </c>
      <c r="W90" s="192">
        <f t="shared" si="51"/>
        <v>78</v>
      </c>
      <c r="X90" s="193">
        <f t="shared" si="59"/>
        <v>840</v>
      </c>
      <c r="Y90" s="50">
        <f t="shared" si="52"/>
        <v>19.5</v>
      </c>
      <c r="Z90" s="158">
        <f t="shared" si="53"/>
        <v>9.3671190104479413E-3</v>
      </c>
      <c r="AA90" s="194">
        <f t="shared" si="54"/>
        <v>9.285714285714286E-2</v>
      </c>
    </row>
    <row r="91" spans="1:27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5"/>
        <v>4</v>
      </c>
      <c r="H91" s="163"/>
      <c r="I91" s="164"/>
      <c r="J91" s="154">
        <f t="shared" si="56"/>
        <v>0</v>
      </c>
      <c r="K91" s="178"/>
      <c r="L91" s="395">
        <f t="shared" si="57"/>
        <v>3</v>
      </c>
      <c r="M91" s="398">
        <v>4</v>
      </c>
      <c r="N91" s="389">
        <v>12.6</v>
      </c>
      <c r="O91" s="154">
        <f t="shared" si="60"/>
        <v>0</v>
      </c>
      <c r="Q91" s="165">
        <f t="shared" si="58"/>
        <v>0</v>
      </c>
      <c r="R91" s="191">
        <f t="shared" si="48"/>
        <v>0</v>
      </c>
      <c r="S91" s="192">
        <f t="shared" si="49"/>
        <v>0</v>
      </c>
      <c r="U91" s="165">
        <f t="shared" ref="U91:U99" si="61">(((+M91+(N91/16))-O91)-((+M90+(N90/16))-O90))*20</f>
        <v>18.249999999999993</v>
      </c>
      <c r="V91" s="156">
        <f t="shared" si="50"/>
        <v>72.999999999999972</v>
      </c>
      <c r="W91" s="192">
        <f t="shared" si="51"/>
        <v>72.999999999999972</v>
      </c>
      <c r="X91" s="193">
        <f t="shared" si="59"/>
        <v>840</v>
      </c>
      <c r="Y91" s="50">
        <f t="shared" si="52"/>
        <v>18.249999999999993</v>
      </c>
      <c r="Z91" s="158">
        <f t="shared" si="53"/>
        <v>8.7666626636243514E-3</v>
      </c>
      <c r="AA91" s="194">
        <f t="shared" si="54"/>
        <v>8.690476190476186E-2</v>
      </c>
    </row>
    <row r="92" spans="1:27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5"/>
        <v>4</v>
      </c>
      <c r="H92" s="163"/>
      <c r="I92" s="164"/>
      <c r="J92" s="154">
        <f t="shared" si="56"/>
        <v>0</v>
      </c>
      <c r="K92" s="178"/>
      <c r="L92" s="395">
        <f t="shared" si="57"/>
        <v>3</v>
      </c>
      <c r="M92" s="398">
        <v>6</v>
      </c>
      <c r="N92" s="389">
        <v>12</v>
      </c>
      <c r="O92" s="154">
        <f t="shared" si="60"/>
        <v>0</v>
      </c>
      <c r="Q92" s="165">
        <f t="shared" si="58"/>
        <v>0</v>
      </c>
      <c r="R92" s="191">
        <f t="shared" si="48"/>
        <v>0</v>
      </c>
      <c r="S92" s="192">
        <f t="shared" si="49"/>
        <v>0</v>
      </c>
      <c r="U92" s="165">
        <f t="shared" si="61"/>
        <v>39.250000000000007</v>
      </c>
      <c r="V92" s="156">
        <f t="shared" si="50"/>
        <v>157.00000000000003</v>
      </c>
      <c r="W92" s="192">
        <f t="shared" si="51"/>
        <v>157.00000000000003</v>
      </c>
      <c r="X92" s="193">
        <f t="shared" si="59"/>
        <v>840</v>
      </c>
      <c r="Y92" s="50">
        <f t="shared" si="52"/>
        <v>39.250000000000007</v>
      </c>
      <c r="Z92" s="158">
        <f t="shared" si="53"/>
        <v>1.88543292902606E-2</v>
      </c>
      <c r="AA92" s="194">
        <f t="shared" si="54"/>
        <v>0.18690476190476193</v>
      </c>
    </row>
    <row r="93" spans="1:27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5"/>
        <v>4</v>
      </c>
      <c r="H93" s="163"/>
      <c r="I93" s="164"/>
      <c r="J93" s="154">
        <f t="shared" si="56"/>
        <v>0</v>
      </c>
      <c r="K93" s="178"/>
      <c r="L93" s="395">
        <f t="shared" si="57"/>
        <v>3</v>
      </c>
      <c r="M93" s="398">
        <v>7</v>
      </c>
      <c r="N93" s="389">
        <v>13.7</v>
      </c>
      <c r="O93" s="154">
        <f t="shared" si="60"/>
        <v>0</v>
      </c>
      <c r="Q93" s="165">
        <f t="shared" si="58"/>
        <v>0</v>
      </c>
      <c r="R93" s="191">
        <f t="shared" si="48"/>
        <v>0</v>
      </c>
      <c r="S93" s="192">
        <f t="shared" si="49"/>
        <v>0</v>
      </c>
      <c r="U93" s="165">
        <f t="shared" si="61"/>
        <v>22.125000000000004</v>
      </c>
      <c r="V93" s="156">
        <f t="shared" si="50"/>
        <v>88.500000000000014</v>
      </c>
      <c r="W93" s="192">
        <f t="shared" si="51"/>
        <v>88.500000000000014</v>
      </c>
      <c r="X93" s="193">
        <f t="shared" si="59"/>
        <v>840</v>
      </c>
      <c r="Y93" s="50">
        <f t="shared" si="52"/>
        <v>22.125000000000004</v>
      </c>
      <c r="Z93" s="158">
        <f t="shared" si="53"/>
        <v>1.0628077338777473E-2</v>
      </c>
      <c r="AA93" s="194">
        <f t="shared" si="54"/>
        <v>0.10535714285714287</v>
      </c>
    </row>
    <row r="94" spans="1:27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5"/>
        <v>4</v>
      </c>
      <c r="H94" s="163"/>
      <c r="I94" s="164"/>
      <c r="J94" s="154">
        <f t="shared" si="56"/>
        <v>0</v>
      </c>
      <c r="K94" s="178"/>
      <c r="L94" s="395">
        <f t="shared" si="57"/>
        <v>3</v>
      </c>
      <c r="M94" s="398">
        <v>9</v>
      </c>
      <c r="N94" s="389">
        <v>11.8</v>
      </c>
      <c r="O94" s="154">
        <f t="shared" si="60"/>
        <v>0</v>
      </c>
      <c r="Q94" s="165">
        <f t="shared" si="58"/>
        <v>0</v>
      </c>
      <c r="R94" s="191">
        <f t="shared" si="48"/>
        <v>0</v>
      </c>
      <c r="S94" s="192">
        <f t="shared" si="49"/>
        <v>0</v>
      </c>
      <c r="T94" s="165"/>
      <c r="U94" s="165">
        <f t="shared" si="61"/>
        <v>37.625000000000014</v>
      </c>
      <c r="V94" s="156">
        <f>+U94/E94</f>
        <v>150.50000000000006</v>
      </c>
      <c r="W94" s="192">
        <f>((+U94/+E94)*F94)/(L94+G94)</f>
        <v>150.50000000000006</v>
      </c>
      <c r="X94" s="193">
        <f t="shared" si="59"/>
        <v>840</v>
      </c>
      <c r="Y94" s="50">
        <f>+U94+Q94</f>
        <v>37.625000000000014</v>
      </c>
      <c r="Z94" s="158">
        <f t="shared" si="53"/>
        <v>1.8073736039389943E-2</v>
      </c>
      <c r="AA94" s="194">
        <f t="shared" si="54"/>
        <v>0.17916666666666675</v>
      </c>
    </row>
    <row r="95" spans="1:27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5"/>
        <v>4</v>
      </c>
      <c r="H95" s="163"/>
      <c r="I95" s="164"/>
      <c r="J95" s="154">
        <f t="shared" si="56"/>
        <v>0</v>
      </c>
      <c r="K95" s="178"/>
      <c r="L95" s="395">
        <f t="shared" si="57"/>
        <v>3</v>
      </c>
      <c r="M95" s="398">
        <v>10</v>
      </c>
      <c r="N95" s="389">
        <v>9.9</v>
      </c>
      <c r="O95" s="154">
        <f t="shared" si="60"/>
        <v>0</v>
      </c>
      <c r="Q95" s="165">
        <f t="shared" si="58"/>
        <v>0</v>
      </c>
      <c r="R95" s="191">
        <f t="shared" si="48"/>
        <v>0</v>
      </c>
      <c r="S95" s="192">
        <f t="shared" si="49"/>
        <v>0</v>
      </c>
      <c r="U95" s="165">
        <f t="shared" si="61"/>
        <v>17.624999999999993</v>
      </c>
      <c r="V95" s="156">
        <f>+U95/E95</f>
        <v>70.499999999999972</v>
      </c>
      <c r="W95" s="192">
        <f>((+U95/+E95)*F95)/(L95+G95)</f>
        <v>70.499999999999972</v>
      </c>
      <c r="X95" s="193">
        <f t="shared" si="59"/>
        <v>840</v>
      </c>
      <c r="Y95" s="50">
        <f>+U95+Q95</f>
        <v>17.624999999999993</v>
      </c>
      <c r="Z95" s="158">
        <f t="shared" si="53"/>
        <v>8.4664344902125582E-3</v>
      </c>
      <c r="AA95" s="194">
        <f t="shared" si="54"/>
        <v>8.3928571428571394E-2</v>
      </c>
    </row>
    <row r="96" spans="1:27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5"/>
        <v>4</v>
      </c>
      <c r="H96" s="163"/>
      <c r="I96" s="164"/>
      <c r="J96" s="154">
        <f t="shared" si="56"/>
        <v>0</v>
      </c>
      <c r="K96" s="178"/>
      <c r="L96" s="395">
        <f t="shared" si="57"/>
        <v>3</v>
      </c>
      <c r="M96" s="398">
        <v>10</v>
      </c>
      <c r="N96" s="389">
        <v>15.9</v>
      </c>
      <c r="O96" s="154">
        <f t="shared" si="60"/>
        <v>0</v>
      </c>
      <c r="Q96" s="165">
        <f t="shared" si="58"/>
        <v>0</v>
      </c>
      <c r="R96" s="191">
        <f t="shared" si="48"/>
        <v>0</v>
      </c>
      <c r="S96" s="192">
        <f t="shared" si="49"/>
        <v>0</v>
      </c>
      <c r="U96" s="165">
        <f t="shared" si="61"/>
        <v>7.5</v>
      </c>
      <c r="V96" s="156">
        <f t="shared" si="50"/>
        <v>30</v>
      </c>
      <c r="W96" s="192">
        <f t="shared" si="51"/>
        <v>32.142857142857146</v>
      </c>
      <c r="X96" s="193">
        <f t="shared" si="59"/>
        <v>840</v>
      </c>
      <c r="Y96" s="50">
        <f t="shared" si="52"/>
        <v>7.5</v>
      </c>
      <c r="Z96" s="158">
        <f t="shared" si="53"/>
        <v>3.6027380809415155E-3</v>
      </c>
      <c r="AA96" s="194">
        <f t="shared" si="54"/>
        <v>3.826530612244898E-2</v>
      </c>
    </row>
    <row r="97" spans="1:27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5"/>
        <v>4</v>
      </c>
      <c r="H97" s="163"/>
      <c r="I97" s="164"/>
      <c r="J97" s="154">
        <f t="shared" si="56"/>
        <v>0</v>
      </c>
      <c r="K97" s="178"/>
      <c r="L97" s="395">
        <f t="shared" si="57"/>
        <v>3</v>
      </c>
      <c r="M97" s="398">
        <v>11</v>
      </c>
      <c r="N97" s="389">
        <v>7.4</v>
      </c>
      <c r="O97" s="154">
        <f t="shared" si="60"/>
        <v>0</v>
      </c>
      <c r="Q97" s="165">
        <f t="shared" si="58"/>
        <v>0</v>
      </c>
      <c r="R97" s="191">
        <f t="shared" si="48"/>
        <v>0</v>
      </c>
      <c r="S97" s="192">
        <f t="shared" si="49"/>
        <v>0</v>
      </c>
      <c r="U97" s="165">
        <f>(((+M97+(N97/16))-O97)-((+M96+(N96/16))-O96))*20</f>
        <v>9.375</v>
      </c>
      <c r="V97" s="156">
        <f t="shared" si="50"/>
        <v>37.5</v>
      </c>
      <c r="W97" s="192">
        <f t="shared" si="51"/>
        <v>40.178571428571431</v>
      </c>
      <c r="X97" s="193">
        <f t="shared" si="59"/>
        <v>840</v>
      </c>
      <c r="Y97" s="50">
        <f t="shared" si="52"/>
        <v>9.375</v>
      </c>
      <c r="Z97" s="158">
        <f t="shared" si="53"/>
        <v>4.5034226011768947E-3</v>
      </c>
      <c r="AA97" s="194">
        <f t="shared" si="54"/>
        <v>4.7831632653061222E-2</v>
      </c>
    </row>
    <row r="98" spans="1:27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5"/>
        <v>4</v>
      </c>
      <c r="H98" s="163"/>
      <c r="I98" s="164"/>
      <c r="J98" s="154">
        <f t="shared" si="56"/>
        <v>0</v>
      </c>
      <c r="K98" s="178"/>
      <c r="L98" s="395">
        <f t="shared" si="57"/>
        <v>3</v>
      </c>
      <c r="M98" s="398">
        <v>11</v>
      </c>
      <c r="N98" s="389">
        <v>13.3</v>
      </c>
      <c r="O98" s="154">
        <f t="shared" si="60"/>
        <v>0</v>
      </c>
      <c r="Q98" s="165">
        <f t="shared" si="58"/>
        <v>0</v>
      </c>
      <c r="R98" s="191">
        <f t="shared" si="48"/>
        <v>0</v>
      </c>
      <c r="S98" s="192">
        <f t="shared" si="49"/>
        <v>0</v>
      </c>
      <c r="U98" s="165">
        <f t="shared" si="61"/>
        <v>7.3750000000000071</v>
      </c>
      <c r="V98" s="156">
        <f>+U98/E98</f>
        <v>29.500000000000028</v>
      </c>
      <c r="W98" s="192">
        <f>((+U98/+E98)*F98)/(L98+G98)</f>
        <v>31.60714285714289</v>
      </c>
      <c r="X98" s="193">
        <f t="shared" si="59"/>
        <v>840</v>
      </c>
      <c r="Y98" s="50">
        <f>+U98+Q98</f>
        <v>7.3750000000000071</v>
      </c>
      <c r="Z98" s="158">
        <f t="shared" si="53"/>
        <v>3.5426924462591603E-3</v>
      </c>
      <c r="AA98" s="194">
        <f t="shared" si="54"/>
        <v>3.7627551020408205E-2</v>
      </c>
    </row>
    <row r="99" spans="1:27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5"/>
        <v>4</v>
      </c>
      <c r="H99" s="163"/>
      <c r="I99" s="164"/>
      <c r="J99" s="154">
        <f t="shared" si="56"/>
        <v>0</v>
      </c>
      <c r="K99" s="178"/>
      <c r="L99" s="395">
        <f t="shared" si="57"/>
        <v>3</v>
      </c>
      <c r="M99" s="398">
        <v>11</v>
      </c>
      <c r="N99" s="389">
        <v>13.3</v>
      </c>
      <c r="O99" s="154">
        <f t="shared" si="60"/>
        <v>0</v>
      </c>
      <c r="Q99" s="165">
        <f t="shared" si="58"/>
        <v>0</v>
      </c>
      <c r="R99" s="191">
        <f t="shared" si="48"/>
        <v>0</v>
      </c>
      <c r="S99" s="192">
        <f t="shared" si="49"/>
        <v>0</v>
      </c>
      <c r="U99" s="165">
        <f t="shared" si="61"/>
        <v>0</v>
      </c>
      <c r="V99" s="156">
        <f>+U99/E99</f>
        <v>0</v>
      </c>
      <c r="W99" s="192">
        <f>((+U99/+E99)*F99)/(L99+G99)</f>
        <v>0</v>
      </c>
      <c r="X99" s="193">
        <f t="shared" si="59"/>
        <v>840</v>
      </c>
      <c r="Y99" s="50">
        <f>+U99+Q99</f>
        <v>0</v>
      </c>
      <c r="Z99" s="158">
        <f t="shared" si="53"/>
        <v>0</v>
      </c>
      <c r="AA99" s="194">
        <f t="shared" si="54"/>
        <v>0</v>
      </c>
    </row>
    <row r="100" spans="1:27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5"/>
        <v>4</v>
      </c>
      <c r="H100" s="163"/>
      <c r="I100" s="164"/>
      <c r="J100" s="154">
        <f t="shared" si="56"/>
        <v>0</v>
      </c>
      <c r="K100" s="178"/>
      <c r="L100" s="395">
        <f t="shared" si="57"/>
        <v>3</v>
      </c>
      <c r="M100" s="398">
        <v>12</v>
      </c>
      <c r="N100" s="389">
        <v>6</v>
      </c>
      <c r="O100" s="154">
        <f t="shared" si="60"/>
        <v>0</v>
      </c>
      <c r="Q100" s="165">
        <f t="shared" si="58"/>
        <v>0</v>
      </c>
      <c r="R100" s="191">
        <f t="shared" si="48"/>
        <v>0</v>
      </c>
      <c r="S100" s="192">
        <f t="shared" si="49"/>
        <v>0</v>
      </c>
      <c r="U100" s="165">
        <f>(((+M100+(N100/16))-O100)-((+M99+(N99/16))-O99))*20</f>
        <v>10.874999999999986</v>
      </c>
      <c r="V100" s="156">
        <f t="shared" si="50"/>
        <v>43.499999999999943</v>
      </c>
      <c r="W100" s="192">
        <f t="shared" si="51"/>
        <v>46.60714285714279</v>
      </c>
      <c r="X100" s="193">
        <f t="shared" si="59"/>
        <v>840</v>
      </c>
      <c r="Y100" s="50">
        <f t="shared" si="52"/>
        <v>10.874999999999986</v>
      </c>
      <c r="Z100" s="158">
        <f t="shared" si="53"/>
        <v>5.2239702173651906E-3</v>
      </c>
      <c r="AA100" s="194">
        <f t="shared" si="54"/>
        <v>5.5484693877550943E-2</v>
      </c>
    </row>
    <row r="101" spans="1:27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5"/>
        <v>4</v>
      </c>
      <c r="H101" s="173"/>
      <c r="I101" s="203"/>
      <c r="J101" s="154">
        <f t="shared" si="56"/>
        <v>0</v>
      </c>
      <c r="K101" s="178"/>
      <c r="L101" s="395">
        <f t="shared" si="57"/>
        <v>3</v>
      </c>
      <c r="M101" s="398">
        <v>12</v>
      </c>
      <c r="N101" s="389">
        <v>6</v>
      </c>
      <c r="O101" s="154">
        <f t="shared" si="60"/>
        <v>0</v>
      </c>
      <c r="Q101" s="165">
        <f t="shared" si="58"/>
        <v>0</v>
      </c>
      <c r="R101" s="191">
        <f t="shared" si="48"/>
        <v>0</v>
      </c>
      <c r="S101" s="191">
        <f t="shared" si="49"/>
        <v>0</v>
      </c>
      <c r="U101" s="165">
        <f>(((+M101+(N101/16))-O101)-((+M100+(N100/16))-O100))*20</f>
        <v>0</v>
      </c>
      <c r="V101" s="156">
        <f t="shared" si="50"/>
        <v>0</v>
      </c>
      <c r="W101" s="192">
        <f t="shared" si="51"/>
        <v>0</v>
      </c>
      <c r="X101" s="193">
        <f t="shared" si="59"/>
        <v>840</v>
      </c>
      <c r="Y101" s="50">
        <f t="shared" si="52"/>
        <v>0</v>
      </c>
      <c r="Z101" s="158">
        <f t="shared" si="53"/>
        <v>0</v>
      </c>
      <c r="AA101" s="194">
        <f t="shared" si="54"/>
        <v>0</v>
      </c>
    </row>
    <row r="102" spans="1:27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18003.500000000004</v>
      </c>
      <c r="X102" s="64"/>
      <c r="Y102" s="211">
        <f>SUM(Y70:Y101)</f>
        <v>634.5</v>
      </c>
      <c r="Z102" s="212">
        <f>SUM(Y88:Y101)/TOTAL_MEASUED_INCOME</f>
        <v>0.11889035667107001</v>
      </c>
      <c r="AA102" s="123"/>
    </row>
    <row r="103" spans="1:27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41905</v>
      </c>
      <c r="K103" s="19"/>
      <c r="L103" s="19"/>
      <c r="M103" s="19"/>
      <c r="N103" s="132" t="s">
        <v>195</v>
      </c>
      <c r="O103" s="403">
        <f>+D30</f>
        <v>41908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7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372.75</v>
      </c>
      <c r="N104" s="30" t="s">
        <v>199</v>
      </c>
      <c r="O104" s="266">
        <f>SUM(U33:U63)</f>
        <v>1074.5</v>
      </c>
      <c r="U104" s="29"/>
      <c r="W104" s="28"/>
      <c r="X104" s="24"/>
      <c r="Y104" s="141"/>
      <c r="Z104" s="141"/>
      <c r="AA104" s="185"/>
    </row>
    <row r="105" spans="1:27" s="12" customFormat="1" ht="14.25" thickBot="1" x14ac:dyDescent="0.3">
      <c r="A105" s="405" t="s">
        <v>197</v>
      </c>
      <c r="B105" s="45">
        <f>+U14</f>
        <v>1222.0952936091476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634.5</v>
      </c>
      <c r="U105" s="29"/>
      <c r="W105" s="45"/>
      <c r="X105" s="30" t="s">
        <v>199</v>
      </c>
      <c r="Y105" s="71">
        <f>+O104+J104</f>
        <v>1447.25</v>
      </c>
      <c r="Z105" s="228">
        <f>+Y105/Y112</f>
        <v>0.69520835835234773</v>
      </c>
      <c r="AA105" s="407"/>
    </row>
    <row r="106" spans="1:27" s="12" customFormat="1" ht="14.25" thickBot="1" x14ac:dyDescent="0.3">
      <c r="A106" s="405" t="s">
        <v>200</v>
      </c>
      <c r="B106" s="45">
        <f>+Y14</f>
        <v>6575.8734563908547</v>
      </c>
      <c r="C106" s="220"/>
      <c r="H106" s="408"/>
      <c r="I106" s="409"/>
      <c r="J106" s="409">
        <f>SUM(J104:J105)</f>
        <v>372.75</v>
      </c>
      <c r="K106" s="61"/>
      <c r="L106" s="61"/>
      <c r="M106" s="61"/>
      <c r="N106" s="61"/>
      <c r="O106" s="410">
        <f>SUM(O104:O105)</f>
        <v>1709</v>
      </c>
      <c r="U106" s="29"/>
      <c r="W106" s="45"/>
      <c r="X106" s="64" t="s">
        <v>201</v>
      </c>
      <c r="Y106" s="66">
        <f>+O105+J105</f>
        <v>634.5</v>
      </c>
      <c r="Z106" s="232">
        <f>+Y106/Y112</f>
        <v>0.30479164164765221</v>
      </c>
      <c r="AA106" s="411"/>
    </row>
    <row r="107" spans="1:27" s="12" customFormat="1" ht="14.25" thickBot="1" x14ac:dyDescent="0.3">
      <c r="A107" s="405" t="s">
        <v>266</v>
      </c>
      <c r="B107" s="45">
        <f>+Y112</f>
        <v>2081.75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2081.75</v>
      </c>
      <c r="Z107" s="237"/>
      <c r="AA107" s="414"/>
    </row>
    <row r="108" spans="1:27" s="12" customFormat="1" ht="13.5" x14ac:dyDescent="0.25">
      <c r="A108" s="405" t="s">
        <v>268</v>
      </c>
      <c r="B108" s="45">
        <f>+Y120</f>
        <v>2254.875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7" s="12" customFormat="1" ht="13.5" x14ac:dyDescent="0.25">
      <c r="A109" s="147" t="s">
        <v>206</v>
      </c>
      <c r="B109" s="244">
        <f>+Z106</f>
        <v>0.30479164164765221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>
        <v>0</v>
      </c>
      <c r="V109" s="422">
        <v>0</v>
      </c>
      <c r="W109" s="199"/>
      <c r="X109" s="193"/>
      <c r="Y109" s="193"/>
      <c r="Z109" s="193"/>
      <c r="AA109" s="418"/>
    </row>
    <row r="110" spans="1:27" s="12" customFormat="1" ht="13.5" x14ac:dyDescent="0.25">
      <c r="A110" s="147" t="s">
        <v>207</v>
      </c>
      <c r="B110" s="244">
        <f>+AA14</f>
        <v>0.13510235515518046</v>
      </c>
      <c r="C110" s="220"/>
      <c r="J110" s="29"/>
      <c r="K110" s="12">
        <f>+M110-L110</f>
        <v>134</v>
      </c>
      <c r="L110" s="224">
        <v>70</v>
      </c>
      <c r="M110" s="423">
        <f>+U114</f>
        <v>204</v>
      </c>
      <c r="N110" s="424">
        <f>+M110*1</f>
        <v>204</v>
      </c>
      <c r="O110" s="29"/>
      <c r="P110" s="12">
        <f>+R110-Q110</f>
        <v>157</v>
      </c>
      <c r="Q110" s="256">
        <v>16</v>
      </c>
      <c r="R110" s="423">
        <f>+V114</f>
        <v>173</v>
      </c>
      <c r="S110" s="424">
        <f>+R110*1</f>
        <v>173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7" s="12" customFormat="1" ht="14.25" thickBot="1" x14ac:dyDescent="0.3">
      <c r="A111" s="425"/>
      <c r="B111" s="61"/>
      <c r="C111" s="248"/>
      <c r="J111" s="29"/>
      <c r="K111" s="12">
        <f>+M111-L111</f>
        <v>54</v>
      </c>
      <c r="L111" s="224">
        <v>27</v>
      </c>
      <c r="M111" s="423">
        <f>+U115</f>
        <v>81</v>
      </c>
      <c r="N111" s="424">
        <f>+M111*5</f>
        <v>405</v>
      </c>
      <c r="O111" s="29"/>
      <c r="P111" s="12">
        <f>+R111-Q111</f>
        <v>22</v>
      </c>
      <c r="Q111" s="256">
        <v>5</v>
      </c>
      <c r="R111" s="423">
        <f>+V115</f>
        <v>27</v>
      </c>
      <c r="S111" s="424">
        <f>+R111*5</f>
        <v>135</v>
      </c>
      <c r="U111" s="29"/>
      <c r="W111" s="242"/>
      <c r="X111" s="247"/>
      <c r="Y111" s="247" t="s">
        <v>209</v>
      </c>
      <c r="Z111" s="243"/>
      <c r="AA111" s="418"/>
    </row>
    <row r="112" spans="1:27" s="12" customFormat="1" ht="13.5" x14ac:dyDescent="0.25">
      <c r="A112" s="30"/>
      <c r="J112" s="29"/>
      <c r="K112" s="12">
        <f>+M112-L112</f>
        <v>15</v>
      </c>
      <c r="L112" s="224">
        <v>9</v>
      </c>
      <c r="M112" s="423">
        <f>+U116</f>
        <v>24</v>
      </c>
      <c r="N112" s="424">
        <f>+M112*10</f>
        <v>240</v>
      </c>
      <c r="O112" s="29"/>
      <c r="P112" s="12">
        <f>+R112-Q112</f>
        <v>10</v>
      </c>
      <c r="Q112" s="256">
        <v>3</v>
      </c>
      <c r="R112" s="423">
        <f>+V116</f>
        <v>13</v>
      </c>
      <c r="S112" s="424">
        <f>+R112*10</f>
        <v>130</v>
      </c>
      <c r="U112" s="29"/>
      <c r="X112" s="249" t="s">
        <v>239</v>
      </c>
      <c r="Y112" s="180">
        <f>+Y107+Y110</f>
        <v>2081.75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28</v>
      </c>
      <c r="L113" s="256">
        <v>8</v>
      </c>
      <c r="M113" s="426">
        <f>+U117</f>
        <v>36</v>
      </c>
      <c r="N113" s="427">
        <f>+M113*20</f>
        <v>720</v>
      </c>
      <c r="O113" s="29"/>
      <c r="P113" s="12">
        <f>+R113-Q113</f>
        <v>3</v>
      </c>
      <c r="Q113" s="256">
        <v>5</v>
      </c>
      <c r="R113" s="423">
        <f>+V117</f>
        <v>8</v>
      </c>
      <c r="S113" s="424">
        <f>+R113*20</f>
        <v>160</v>
      </c>
      <c r="U113" s="405" t="s">
        <v>272</v>
      </c>
      <c r="V113" s="28" t="s">
        <v>273</v>
      </c>
      <c r="Y113" s="45">
        <f>+Y112</f>
        <v>2081.75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1114</v>
      </c>
      <c r="K114" s="12" t="s">
        <v>274</v>
      </c>
      <c r="L114" s="430">
        <f>+L110*1+L111*5+L112*10+L113*20</f>
        <v>455</v>
      </c>
      <c r="M114" s="431"/>
      <c r="N114" s="432">
        <f>SUM(N110:N113)</f>
        <v>1569</v>
      </c>
      <c r="O114" s="429">
        <f>+S114-Q114</f>
        <v>427</v>
      </c>
      <c r="P114" s="12" t="s">
        <v>274</v>
      </c>
      <c r="Q114" s="433">
        <f>+Q110*1+Q111*5+Q112*10+Q113*20</f>
        <v>171</v>
      </c>
      <c r="R114" s="434"/>
      <c r="S114" s="435">
        <f>SUM(S110:S113)</f>
        <v>598</v>
      </c>
      <c r="T114" s="436"/>
      <c r="U114" s="437">
        <v>204</v>
      </c>
      <c r="V114" s="438">
        <v>173</v>
      </c>
      <c r="W114" s="252">
        <f>SUM(U114:V114)</f>
        <v>377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81</v>
      </c>
      <c r="V115" s="438">
        <v>27</v>
      </c>
      <c r="W115" s="252">
        <f>(+U115+V115)*5</f>
        <v>540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1208</v>
      </c>
      <c r="K116" s="12" t="s">
        <v>274</v>
      </c>
      <c r="L116" s="441">
        <f>+L110*2+L111*10+L112*20+L113*40</f>
        <v>910</v>
      </c>
      <c r="M116" s="431">
        <v>2118</v>
      </c>
      <c r="N116" s="442">
        <v>2118</v>
      </c>
      <c r="O116" s="29">
        <f>+R116-Q116</f>
        <v>1488</v>
      </c>
      <c r="P116" s="12" t="s">
        <v>274</v>
      </c>
      <c r="Q116" s="441">
        <f>+Q110*2+Q111*10+Q112*20+Q113*40</f>
        <v>342</v>
      </c>
      <c r="R116" s="431">
        <v>1830</v>
      </c>
      <c r="S116" s="442">
        <v>1830</v>
      </c>
      <c r="T116" s="436"/>
      <c r="U116" s="437">
        <v>24</v>
      </c>
      <c r="V116" s="438">
        <v>13</v>
      </c>
      <c r="W116" s="252">
        <f>(+U116+V116)*10</f>
        <v>370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302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372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36</v>
      </c>
      <c r="V117" s="438">
        <v>8</v>
      </c>
      <c r="W117" s="260">
        <f>(+U117+V117)*20</f>
        <v>880</v>
      </c>
      <c r="X117" s="446">
        <v>4</v>
      </c>
      <c r="Y117" s="447">
        <v>6.3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1208</v>
      </c>
      <c r="K118" s="12" t="s">
        <v>274</v>
      </c>
      <c r="L118" s="441">
        <f>+L116</f>
        <v>910</v>
      </c>
      <c r="M118" s="251"/>
      <c r="N118" s="261">
        <f>+M117+N117</f>
        <v>1059</v>
      </c>
      <c r="O118" s="29">
        <f>+S116-Q118</f>
        <v>1488</v>
      </c>
      <c r="P118" s="12" t="s">
        <v>274</v>
      </c>
      <c r="Q118" s="441">
        <f>+Q116</f>
        <v>342</v>
      </c>
      <c r="R118" s="450"/>
      <c r="S118" s="451">
        <f>+R117+S117</f>
        <v>915</v>
      </c>
      <c r="U118" s="452">
        <f>+U114*1+U115*5+U116*10+U117*20</f>
        <v>1569</v>
      </c>
      <c r="V118" s="453">
        <f>+V114*1+V115*5+V116*10+V117*20</f>
        <v>598</v>
      </c>
      <c r="W118" s="45">
        <f>SUM(W114:W117)</f>
        <v>2167</v>
      </c>
      <c r="Y118" s="48">
        <f>((+X117+(Y117/16)))*20</f>
        <v>87.875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302</v>
      </c>
      <c r="L119" s="454" t="s">
        <v>222</v>
      </c>
      <c r="M119" s="309"/>
      <c r="N119" s="420"/>
      <c r="O119" s="444">
        <f>+O118*0.25</f>
        <v>372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2167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227.5</v>
      </c>
      <c r="M120" s="48"/>
      <c r="N120" s="185" t="s">
        <v>275</v>
      </c>
      <c r="O120" s="29"/>
      <c r="Q120" s="440">
        <f>+Q116/4</f>
        <v>85.5</v>
      </c>
      <c r="R120" s="48"/>
      <c r="S120" s="185" t="s">
        <v>275</v>
      </c>
      <c r="U120" s="456">
        <f>+N114*2</f>
        <v>3138</v>
      </c>
      <c r="V120" s="457">
        <f>+S114*2</f>
        <v>1196</v>
      </c>
      <c r="W120" s="255">
        <f>+W118*2</f>
        <v>4334</v>
      </c>
      <c r="Y120" s="269">
        <f>SUM(Y118:Y119)</f>
        <v>2254.875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4334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604</v>
      </c>
      <c r="K122" s="463"/>
      <c r="L122" s="464">
        <f>+L118/4</f>
        <v>227.5</v>
      </c>
      <c r="M122" s="57">
        <f>+L120+L122</f>
        <v>455</v>
      </c>
      <c r="N122" s="465">
        <f>+N118-M122</f>
        <v>604</v>
      </c>
      <c r="O122" s="462">
        <f>+O117+O119</f>
        <v>744</v>
      </c>
      <c r="P122" s="463"/>
      <c r="Q122" s="464">
        <f>+Q118/4</f>
        <v>85.5</v>
      </c>
      <c r="R122" s="57">
        <f>+Q120+Q122</f>
        <v>171</v>
      </c>
      <c r="S122" s="465">
        <f>+S118-R122</f>
        <v>744</v>
      </c>
      <c r="U122" s="60"/>
      <c r="V122" s="61"/>
      <c r="W122" s="287" t="s">
        <v>226</v>
      </c>
      <c r="X122" s="288"/>
      <c r="Y122" s="289">
        <f>-(+Y112-Y120)</f>
        <v>173.125</v>
      </c>
      <c r="Z122" s="289"/>
      <c r="AA122" s="466"/>
      <c r="AB122" s="12" t="s">
        <v>285</v>
      </c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62">((+R126+(S126/16))-T126)*20</f>
        <v>45</v>
      </c>
      <c r="V126" s="45">
        <f>+U126-Q126</f>
        <v>23.75</v>
      </c>
      <c r="W126" s="30">
        <f t="shared" ref="W126:W131" si="63">+V126/20</f>
        <v>1.1875</v>
      </c>
      <c r="X126" s="110">
        <f t="shared" ref="X126:X131" si="64">CEILING(+W126,1)</f>
        <v>2</v>
      </c>
      <c r="Y126" s="371">
        <f t="shared" ref="Y126:Y131" si="65">+W126+1-X126</f>
        <v>0.1875</v>
      </c>
      <c r="Z126" s="482">
        <f t="shared" ref="Z126:Z131" si="66">CEILING(+W126,1)-1</f>
        <v>1</v>
      </c>
      <c r="AA126" s="483">
        <f t="shared" ref="AA126:AA131" si="67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62"/>
        <v>28.75</v>
      </c>
      <c r="V127" s="45">
        <f>+U127+Q127</f>
        <v>7.5</v>
      </c>
      <c r="W127" s="30">
        <f t="shared" si="63"/>
        <v>0.375</v>
      </c>
      <c r="X127" s="110">
        <f t="shared" si="64"/>
        <v>1</v>
      </c>
      <c r="Y127" s="31">
        <f t="shared" si="65"/>
        <v>0.375</v>
      </c>
      <c r="Z127" s="482">
        <f t="shared" si="66"/>
        <v>0</v>
      </c>
      <c r="AA127" s="483">
        <f t="shared" si="67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62"/>
        <v>0</v>
      </c>
      <c r="V128" s="45">
        <f>+U128+Q128</f>
        <v>0</v>
      </c>
      <c r="W128" s="30">
        <f t="shared" si="63"/>
        <v>0</v>
      </c>
      <c r="X128" s="110">
        <f t="shared" si="64"/>
        <v>0</v>
      </c>
      <c r="Y128" s="31">
        <f t="shared" si="65"/>
        <v>1</v>
      </c>
      <c r="Z128" s="482">
        <f t="shared" si="66"/>
        <v>-1</v>
      </c>
      <c r="AA128" s="483">
        <f t="shared" si="67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62"/>
        <v>0</v>
      </c>
      <c r="V129" s="45">
        <f>+U129+Q129</f>
        <v>0</v>
      </c>
      <c r="W129" s="30">
        <f t="shared" si="63"/>
        <v>0</v>
      </c>
      <c r="X129" s="110">
        <f t="shared" si="64"/>
        <v>0</v>
      </c>
      <c r="Y129" s="31">
        <f t="shared" si="65"/>
        <v>1</v>
      </c>
      <c r="Z129" s="482">
        <f t="shared" si="66"/>
        <v>-1</v>
      </c>
      <c r="AA129" s="483">
        <f t="shared" si="67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62"/>
        <v>0</v>
      </c>
      <c r="V130" s="45">
        <f>+U130+Q130</f>
        <v>0</v>
      </c>
      <c r="W130" s="30">
        <f t="shared" si="63"/>
        <v>0</v>
      </c>
      <c r="X130" s="110">
        <f t="shared" si="64"/>
        <v>0</v>
      </c>
      <c r="Y130" s="31">
        <f t="shared" si="65"/>
        <v>1</v>
      </c>
      <c r="Z130" s="482">
        <f t="shared" si="66"/>
        <v>-1</v>
      </c>
      <c r="AA130" s="483">
        <f t="shared" si="67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62"/>
        <v>0</v>
      </c>
      <c r="V131" s="45">
        <f>+U131+Q131</f>
        <v>0</v>
      </c>
      <c r="W131" s="30">
        <f t="shared" si="63"/>
        <v>0</v>
      </c>
      <c r="X131" s="110">
        <f t="shared" si="64"/>
        <v>0</v>
      </c>
      <c r="Y131" s="31">
        <f t="shared" si="65"/>
        <v>1</v>
      </c>
      <c r="Z131" s="482">
        <f t="shared" si="66"/>
        <v>-1</v>
      </c>
      <c r="AA131" s="483">
        <f t="shared" si="67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1" priority="1" stopIfTrue="1">
      <formula>ABS(+FIXED(R33,0)-R33)&gt;0.15</formula>
    </cfRule>
  </conditionalFormatting>
  <conditionalFormatting sqref="AA33:AA37 AA39:AA44 AA59:AA63">
    <cfRule type="cellIs" dxfId="10" priority="2" stopIfTrue="1" operator="greaterThan">
      <formula>3</formula>
    </cfRule>
  </conditionalFormatting>
  <conditionalFormatting sqref="AA46:AA57">
    <cfRule type="cellIs" dxfId="9" priority="3" stopIfTrue="1" operator="greaterThanOrEqual">
      <formula>5</formula>
    </cfRule>
  </conditionalFormatting>
  <conditionalFormatting sqref="AA70:AA79">
    <cfRule type="cellIs" dxfId="8" priority="4" stopIfTrue="1" operator="greaterThanOrEqual">
      <formula>0.2</formula>
    </cfRule>
  </conditionalFormatting>
  <conditionalFormatting sqref="AA88:AA101">
    <cfRule type="cellIs" dxfId="7" priority="5" stopIfTrue="1" operator="greaterThanOrEqual">
      <formula>0.15</formula>
    </cfRule>
  </conditionalFormatting>
  <conditionalFormatting sqref="AA81:AA86">
    <cfRule type="cellIs" dxfId="6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workbookViewId="0">
      <selection sqref="A1:A2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30" x14ac:dyDescent="0.2">
      <c r="A1" s="1">
        <f>+B1</f>
        <v>40938</v>
      </c>
      <c r="B1" s="351">
        <f>+B2-6</f>
        <v>40938</v>
      </c>
      <c r="C1" s="3" t="s">
        <v>0</v>
      </c>
      <c r="L1" s="6"/>
      <c r="U1" s="68" t="s">
        <v>243</v>
      </c>
      <c r="AD1" s="4"/>
    </row>
    <row r="2" spans="1:30" ht="13.5" x14ac:dyDescent="0.25">
      <c r="A2" s="1">
        <f>+B2</f>
        <v>40944</v>
      </c>
      <c r="B2" s="2">
        <v>40944</v>
      </c>
      <c r="C2" s="4" t="s">
        <v>1</v>
      </c>
      <c r="J2" s="9"/>
      <c r="L2" s="352"/>
      <c r="M2" s="11"/>
      <c r="N2" s="12"/>
      <c r="O2" s="13"/>
      <c r="V2" s="30" t="s">
        <v>21</v>
      </c>
      <c r="W2" s="56">
        <f>+Y7/I8</f>
        <v>294.07142857142856</v>
      </c>
      <c r="AD2" s="4"/>
    </row>
    <row r="3" spans="1:30" x14ac:dyDescent="0.2">
      <c r="A3" s="1">
        <f>+B3</f>
        <v>40942</v>
      </c>
      <c r="B3" s="2">
        <v>40942</v>
      </c>
      <c r="C3" s="4" t="s">
        <v>2</v>
      </c>
      <c r="V3" s="7" t="s">
        <v>22</v>
      </c>
      <c r="W3" s="56">
        <f>+AA7/I8</f>
        <v>291.57142857142856</v>
      </c>
      <c r="AD3" s="4"/>
    </row>
    <row r="4" spans="1:30" ht="2.25" customHeight="1" thickBot="1" x14ac:dyDescent="0.25">
      <c r="B4" s="350">
        <v>40523</v>
      </c>
      <c r="C4" s="6"/>
      <c r="AD4" s="4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  <c r="AD5" s="4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/>
    </row>
    <row r="7" spans="1:30" ht="13.5" x14ac:dyDescent="0.25">
      <c r="A7" s="17"/>
      <c r="B7" s="33">
        <f>+B2</f>
        <v>40944</v>
      </c>
      <c r="C7" s="34"/>
      <c r="E7" s="33">
        <f>+B1</f>
        <v>40938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2058.5</v>
      </c>
      <c r="Z7" s="353">
        <f>+I8</f>
        <v>7</v>
      </c>
      <c r="AA7" s="36">
        <f>+Y113</f>
        <v>2041</v>
      </c>
      <c r="AD7" s="4"/>
    </row>
    <row r="8" spans="1:30" ht="13.5" x14ac:dyDescent="0.25">
      <c r="A8" s="37" t="s">
        <v>25</v>
      </c>
      <c r="B8" s="38">
        <v>32572.560000000001</v>
      </c>
      <c r="C8" s="39">
        <f>+B7</f>
        <v>40944</v>
      </c>
      <c r="D8" s="15">
        <f>+U8/U14</f>
        <v>0.58175331410256792</v>
      </c>
      <c r="E8" s="38">
        <v>32301.5</v>
      </c>
      <c r="F8" s="39">
        <f>+E7</f>
        <v>40938</v>
      </c>
      <c r="G8" s="40">
        <f>+B8-E8</f>
        <v>271.06000000000131</v>
      </c>
      <c r="H8" s="41"/>
      <c r="I8" s="42">
        <f>+C8-F8+1</f>
        <v>7</v>
      </c>
      <c r="J8" s="9">
        <f>+G8/I8</f>
        <v>38.722857142857329</v>
      </c>
      <c r="L8" s="10">
        <f>+(((((((+N8*+Q8)*+M8)+8)*0.02)+(((+N8*+Q8)*+M8)+8))*0.0147)+(((((+N8*+Q8)*+M8)+8)*0.02))+8)</f>
        <v>51.734833447796653</v>
      </c>
      <c r="M8" s="11">
        <f>+O27</f>
        <v>1.00987</v>
      </c>
      <c r="N8" s="12">
        <f>+J8*(365/12)</f>
        <v>1177.8202380952439</v>
      </c>
      <c r="O8" s="13">
        <f>+((N8*+Q8)*M8)+L8</f>
        <v>1293.5157515422316</v>
      </c>
      <c r="P8" s="12"/>
      <c r="Q8" s="11">
        <v>1.044</v>
      </c>
      <c r="R8" s="43">
        <f>+N8*Q8</f>
        <v>1229.6443285714347</v>
      </c>
      <c r="S8" s="29" t="s">
        <v>26</v>
      </c>
      <c r="T8" s="12"/>
      <c r="U8" s="44">
        <f>+O8</f>
        <v>1293.5157515422316</v>
      </c>
      <c r="V8" s="346"/>
      <c r="W8" s="354">
        <f>((+G8*Q8)*M8)+(L8/+(365/12)/7)</f>
        <v>286.02269974203568</v>
      </c>
      <c r="X8" s="30"/>
      <c r="Y8" s="46">
        <f>+Y120*((365/12)/7)*(7/+Z7)</f>
        <v>8944.6726190476202</v>
      </c>
      <c r="Z8" s="355">
        <f>4.3333*7</f>
        <v>30.333100000000002</v>
      </c>
      <c r="AA8" s="47">
        <f>+Y113*((365/12)/7)*(7/+Z7)</f>
        <v>8868.6309523809541</v>
      </c>
      <c r="AD8" s="4"/>
    </row>
    <row r="9" spans="1:30" ht="13.5" x14ac:dyDescent="0.25">
      <c r="A9" s="37" t="s">
        <v>27</v>
      </c>
      <c r="B9" s="38">
        <v>75068</v>
      </c>
      <c r="C9" s="39">
        <f>+C10</f>
        <v>40944</v>
      </c>
      <c r="D9" s="15">
        <f>(+U9+U10+U13)/U14</f>
        <v>0.10513377361920576</v>
      </c>
      <c r="E9" s="38">
        <v>73784</v>
      </c>
      <c r="F9" s="39">
        <f>+F10</f>
        <v>40938</v>
      </c>
      <c r="G9" s="40">
        <f>+B9-E9</f>
        <v>1284</v>
      </c>
      <c r="I9" s="42">
        <f>+C9-F9+1</f>
        <v>7</v>
      </c>
      <c r="J9" s="9">
        <f>+G9/I9</f>
        <v>183.42857142857142</v>
      </c>
      <c r="L9" s="10">
        <f>5+23.89</f>
        <v>28.89</v>
      </c>
      <c r="M9" s="11">
        <v>5.6899999999999999E-2</v>
      </c>
      <c r="N9" s="12">
        <f>+J9*(365/12)</f>
        <v>5579.2857142857138</v>
      </c>
      <c r="O9" s="13">
        <f>+L9+N9*M9</f>
        <v>346.35135714285707</v>
      </c>
      <c r="P9" s="12"/>
      <c r="Q9" s="4" t="s">
        <v>245</v>
      </c>
      <c r="S9" s="29" t="s">
        <v>29</v>
      </c>
      <c r="T9" s="12"/>
      <c r="U9" s="44">
        <f>+O9</f>
        <v>346.35135714285707</v>
      </c>
      <c r="V9" s="346"/>
      <c r="W9" s="354">
        <f>((+G9*M9))+(L9/+(365/12)/7)</f>
        <v>73.195286888454021</v>
      </c>
      <c r="X9" s="30"/>
      <c r="Y9" s="48"/>
      <c r="Z9" s="31"/>
      <c r="AA9" s="32"/>
      <c r="AD9" s="4"/>
    </row>
    <row r="10" spans="1:30" ht="13.5" x14ac:dyDescent="0.25">
      <c r="A10" s="37" t="s">
        <v>30</v>
      </c>
      <c r="B10" s="38">
        <v>4108</v>
      </c>
      <c r="C10" s="39">
        <f>+C11</f>
        <v>40944</v>
      </c>
      <c r="D10" s="15"/>
      <c r="E10" s="38">
        <v>3592</v>
      </c>
      <c r="F10" s="39">
        <f>+F11</f>
        <v>40938</v>
      </c>
      <c r="G10" s="40">
        <f>+B10-E10</f>
        <v>516</v>
      </c>
      <c r="I10" s="42">
        <f>+C10-F10+1</f>
        <v>7</v>
      </c>
      <c r="J10" s="9">
        <f>+G10/I10</f>
        <v>73.714285714285708</v>
      </c>
      <c r="L10" s="10">
        <v>23.89</v>
      </c>
      <c r="M10" s="4">
        <f>+M9</f>
        <v>5.6899999999999999E-2</v>
      </c>
      <c r="N10" s="12">
        <f>+J10*(365/12)</f>
        <v>2242.1428571428569</v>
      </c>
      <c r="O10" s="13">
        <f>+L10+N10*M10</f>
        <v>151.46792857142856</v>
      </c>
      <c r="P10" s="12"/>
      <c r="Q10" s="4" t="s">
        <v>245</v>
      </c>
      <c r="S10" s="29" t="s">
        <v>32</v>
      </c>
      <c r="T10" s="12"/>
      <c r="U10" s="49">
        <f>+O10</f>
        <v>151.46792857142856</v>
      </c>
      <c r="V10" s="346"/>
      <c r="W10" s="347">
        <f>((+G10*M10))+(L10/+(365/12)/7)</f>
        <v>29.47260352250489</v>
      </c>
      <c r="X10" s="30" t="s">
        <v>33</v>
      </c>
      <c r="Y10" s="50">
        <f>-U14</f>
        <v>-2223.478096618413</v>
      </c>
      <c r="Z10" s="50"/>
      <c r="AA10" s="32"/>
      <c r="AD10" s="4"/>
    </row>
    <row r="11" spans="1:30" ht="13.5" x14ac:dyDescent="0.25">
      <c r="A11" s="37" t="s">
        <v>34</v>
      </c>
      <c r="B11" s="38">
        <v>9512.6505199999992</v>
      </c>
      <c r="C11" s="39">
        <f>+C8</f>
        <v>40944</v>
      </c>
      <c r="D11" s="15">
        <f>+U11/U14</f>
        <v>0.3131129122782263</v>
      </c>
      <c r="E11" s="38">
        <v>9476.3401599999997</v>
      </c>
      <c r="F11" s="39">
        <f>+F8</f>
        <v>40938</v>
      </c>
      <c r="G11" s="51">
        <f>+B11-E11</f>
        <v>36.310359999999491</v>
      </c>
      <c r="H11" s="4" t="s">
        <v>35</v>
      </c>
      <c r="I11" s="42">
        <f>+C11-F11+1</f>
        <v>7</v>
      </c>
      <c r="J11" s="9">
        <f>(+G11/I11)*10</f>
        <v>51.87194285714213</v>
      </c>
      <c r="L11" s="10">
        <v>21.11</v>
      </c>
      <c r="M11" s="4">
        <v>0.19900000000000001</v>
      </c>
      <c r="N11" s="52">
        <f>+J11*(365/12)</f>
        <v>1577.7715952380731</v>
      </c>
      <c r="O11" s="13">
        <f>+L11+N11*M11</f>
        <v>335.08654745237658</v>
      </c>
      <c r="P11" s="12"/>
      <c r="Q11" s="4" t="s">
        <v>246</v>
      </c>
      <c r="S11" s="29" t="s">
        <v>37</v>
      </c>
      <c r="T11" s="12"/>
      <c r="U11" s="49">
        <f>+O12+O11+5</f>
        <v>696.19970221903873</v>
      </c>
      <c r="V11" s="346"/>
      <c r="W11" s="347">
        <f>((+G11*10*M11))+((+G11*10*M12))+(L11/((365/12)/7))+(L12/((365/12)/7))</f>
        <v>159.07061640109382</v>
      </c>
      <c r="X11" s="30" t="s">
        <v>38</v>
      </c>
      <c r="Y11" s="50">
        <v>-2000</v>
      </c>
      <c r="Z11" s="50"/>
      <c r="AA11" s="32"/>
      <c r="AD11" s="4"/>
    </row>
    <row r="12" spans="1:30" ht="13.5" x14ac:dyDescent="0.25">
      <c r="A12" s="4" t="s">
        <v>39</v>
      </c>
      <c r="B12" s="53"/>
      <c r="E12" s="53"/>
      <c r="L12" s="10">
        <v>26.99</v>
      </c>
      <c r="M12" s="4">
        <v>0.20860000000000001</v>
      </c>
      <c r="N12" s="54">
        <f>+N11</f>
        <v>1577.7715952380731</v>
      </c>
      <c r="O12" s="13">
        <f>+L12+N12*M12</f>
        <v>356.11315476666209</v>
      </c>
      <c r="P12" s="12"/>
      <c r="Q12" s="4" t="s">
        <v>246</v>
      </c>
      <c r="S12" s="29" t="s">
        <v>41</v>
      </c>
      <c r="T12" s="12"/>
      <c r="U12" s="44">
        <f>+U11+U10</f>
        <v>847.66763079046723</v>
      </c>
      <c r="V12" s="346"/>
      <c r="W12" s="356">
        <f>+W11+W10</f>
        <v>188.54321992359871</v>
      </c>
      <c r="X12" s="30" t="s">
        <v>42</v>
      </c>
      <c r="Y12" s="31">
        <v>0</v>
      </c>
      <c r="Z12" s="31"/>
      <c r="AA12" s="32"/>
      <c r="AD12" s="4"/>
    </row>
    <row r="13" spans="1:30" ht="14.25" thickBot="1" x14ac:dyDescent="0.3">
      <c r="A13" s="37" t="s">
        <v>43</v>
      </c>
      <c r="B13" s="55">
        <v>213228</v>
      </c>
      <c r="C13" s="34">
        <f>+B7</f>
        <v>40944</v>
      </c>
      <c r="E13" s="55">
        <v>212160</v>
      </c>
      <c r="F13" s="34">
        <f>+E7</f>
        <v>40938</v>
      </c>
      <c r="G13" s="40">
        <f>+B13-E13</f>
        <v>1068</v>
      </c>
      <c r="I13" s="42">
        <f>+C13-F13+1</f>
        <v>7</v>
      </c>
      <c r="J13" s="9">
        <f>(+G13/I13)</f>
        <v>152.57142857142858</v>
      </c>
      <c r="L13" s="56">
        <v>0</v>
      </c>
      <c r="M13" s="4">
        <f>+M10</f>
        <v>5.6899999999999999E-2</v>
      </c>
      <c r="N13" s="12">
        <f>+J13*(365/12)</f>
        <v>4640.7142857142862</v>
      </c>
      <c r="O13" s="13">
        <f>-(N13*M13)+L13</f>
        <v>-264.05664285714289</v>
      </c>
      <c r="P13" s="12"/>
      <c r="S13" s="29" t="s">
        <v>44</v>
      </c>
      <c r="T13" s="12"/>
      <c r="U13" s="57">
        <f>+O13</f>
        <v>-264.05664285714289</v>
      </c>
      <c r="V13" s="346"/>
      <c r="W13" s="345">
        <f>-((+G13*M13))+(L13/+(365/12)/7)</f>
        <v>-60.769199999999998</v>
      </c>
      <c r="X13" s="30" t="s">
        <v>45</v>
      </c>
      <c r="Y13" s="58">
        <v>0</v>
      </c>
      <c r="Z13" s="31"/>
      <c r="AA13" s="32"/>
      <c r="AD13" s="4"/>
    </row>
    <row r="14" spans="1:30" ht="14.25" thickBot="1" x14ac:dyDescent="0.3">
      <c r="A14" s="37"/>
      <c r="B14" s="59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2223.478096618413</v>
      </c>
      <c r="V14" s="63">
        <f>((+U14/Y8))</f>
        <v>0.24858127192755286</v>
      </c>
      <c r="W14" s="357">
        <f>W13+W12+W9+W8</f>
        <v>486.99200655408845</v>
      </c>
      <c r="X14" s="343">
        <f>+W14/AA7</f>
        <v>0.23860460879671164</v>
      </c>
      <c r="Y14" s="65">
        <f>SUM(Y8:Y13)</f>
        <v>4721.1945224292067</v>
      </c>
      <c r="Z14" s="66"/>
      <c r="AA14" s="67">
        <f>+U14/AA8</f>
        <v>0.25071266450899932</v>
      </c>
      <c r="AD14" s="4"/>
    </row>
    <row r="15" spans="1:30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599.35245098039218</v>
      </c>
      <c r="E18" s="78">
        <f>(+U26/4.333)/D18</f>
        <v>0.49709437891581759</v>
      </c>
      <c r="F18" s="79"/>
      <c r="G18" s="12" t="s">
        <v>68</v>
      </c>
      <c r="H18" s="80">
        <f>SUM(H19:H21)</f>
        <v>1</v>
      </c>
      <c r="I18" s="81">
        <f>+Z106</f>
        <v>0.61036256736893679</v>
      </c>
      <c r="J18" s="82">
        <f>+M18/M27</f>
        <v>0.61321760515701185</v>
      </c>
      <c r="L18" s="83">
        <f>+Y106</f>
        <v>1245.75</v>
      </c>
      <c r="M18" s="84">
        <f>SUM(M19:M21)</f>
        <v>947.81526562822887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0.48318814668445276</v>
      </c>
      <c r="C19" s="4">
        <v>12</v>
      </c>
      <c r="D19" s="88">
        <f>SUM(R46:R57)+SUM(V46:V57)</f>
        <v>289.60000000000002</v>
      </c>
      <c r="E19" s="89">
        <f>+F19/SUM(F19:F21)</f>
        <v>0.48318814668445281</v>
      </c>
      <c r="F19" s="90">
        <f>+D19*E18</f>
        <v>143.9585321340208</v>
      </c>
      <c r="G19" s="12" t="s">
        <v>70</v>
      </c>
      <c r="H19" s="91">
        <f>+L19/L18</f>
        <v>0.29058799919727074</v>
      </c>
      <c r="I19" s="92">
        <f>+L19/(+L18+L23)</f>
        <v>0.1773640372366487</v>
      </c>
      <c r="J19" s="93">
        <f>+M19/M27</f>
        <v>0.14106848834205263</v>
      </c>
      <c r="L19" s="74">
        <f>SUM(Y46:Y57)</f>
        <v>362</v>
      </c>
      <c r="M19" s="94">
        <f>+L19-F19</f>
        <v>218.0414678659792</v>
      </c>
      <c r="N19" s="4">
        <v>0.25</v>
      </c>
      <c r="O19" s="56">
        <f>+D19*N19</f>
        <v>72.400000000000006</v>
      </c>
      <c r="Q19" s="56">
        <f>+O19*4.33333</f>
        <v>313.73309200000006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0.22044537329211394</v>
      </c>
      <c r="C20" s="4">
        <v>5</v>
      </c>
      <c r="D20" s="88">
        <f>SUM(R33:R37)+SUM(V33:V37)</f>
        <v>132.12447478991598</v>
      </c>
      <c r="E20" s="97">
        <f>+F20/SUM(F19:F21)</f>
        <v>0.22044537329211392</v>
      </c>
      <c r="F20" s="98">
        <f>+D20*E18</f>
        <v>65.678333735271877</v>
      </c>
      <c r="G20" s="12"/>
      <c r="H20" s="99">
        <f>+L20/L18</f>
        <v>0.43046357615894038</v>
      </c>
      <c r="I20" s="92">
        <f>+L20/(+L18+L23)</f>
        <v>0.26273885350318471</v>
      </c>
      <c r="J20" s="93">
        <f>+M20/M27</f>
        <v>0.30445049864261958</v>
      </c>
      <c r="L20" s="100">
        <f>SUM(Y33:Y37)</f>
        <v>536.25</v>
      </c>
      <c r="M20" s="94">
        <f>+L20-F20</f>
        <v>470.57166626472815</v>
      </c>
      <c r="N20" s="4">
        <v>0.25</v>
      </c>
      <c r="O20" s="56">
        <f>+D20*N20</f>
        <v>33.031118697478995</v>
      </c>
      <c r="Q20" s="56">
        <f>+O20*4.33333</f>
        <v>143.13473758534667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0.29636648002343335</v>
      </c>
      <c r="C21" s="4">
        <v>11</v>
      </c>
      <c r="D21" s="88">
        <f>SUM(R39:R44)+SUM(V39:V44)+SUM(R59:R63)+SUM(V59:V63)</f>
        <v>177.6279761904762</v>
      </c>
      <c r="E21" s="101">
        <f>+F21/SUM(F19:F21)</f>
        <v>0.29636648002343335</v>
      </c>
      <c r="F21" s="102">
        <f>+D21*E18</f>
        <v>88.297868502478408</v>
      </c>
      <c r="G21" s="12"/>
      <c r="H21" s="99">
        <f>+L21/L18</f>
        <v>0.27894842464378888</v>
      </c>
      <c r="I21" s="92">
        <f>+L21/(+L18+L23)</f>
        <v>0.17025967662910338</v>
      </c>
      <c r="J21" s="93">
        <f>+M21/M27</f>
        <v>0.16769861817233966</v>
      </c>
      <c r="L21" s="74">
        <f>SUM(Y39:Y44,Y59:Y63)</f>
        <v>347.5</v>
      </c>
      <c r="M21" s="94">
        <f>+L21-F21</f>
        <v>259.20213149752158</v>
      </c>
      <c r="N21" s="4">
        <v>0.25</v>
      </c>
      <c r="O21" s="103">
        <f>+D21*N21</f>
        <v>44.406994047619051</v>
      </c>
      <c r="Q21" s="103">
        <f>+O21*4.33333</f>
        <v>192.43015951636906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149.83811274509804</v>
      </c>
      <c r="Q22" s="74">
        <f>SUM(Q19:Q21)</f>
        <v>649.29798910171576</v>
      </c>
      <c r="S22" s="29" t="s">
        <v>79</v>
      </c>
      <c r="T22" s="12"/>
      <c r="U22" s="106">
        <f>+I18</f>
        <v>0.61036256736893679</v>
      </c>
      <c r="V22" s="106">
        <f>+I23</f>
        <v>0.38963743263106321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22267</v>
      </c>
      <c r="E23" s="108">
        <f>(+V26/4.333)/D23</f>
        <v>8.8661537707979011E-3</v>
      </c>
      <c r="F23" s="109">
        <f>+E23*G23</f>
        <v>6.2063076395585309E-2</v>
      </c>
      <c r="G23" s="110">
        <v>7</v>
      </c>
      <c r="H23" s="80">
        <f>SUM(H24:H26)</f>
        <v>1</v>
      </c>
      <c r="I23" s="81">
        <f>+Z107</f>
        <v>0.38963743263106321</v>
      </c>
      <c r="J23" s="82">
        <f>+M23/M27</f>
        <v>0.38678239484298815</v>
      </c>
      <c r="L23" s="83">
        <f>Y107</f>
        <v>795.25</v>
      </c>
      <c r="M23" s="84">
        <f>SUM(M24:M26)</f>
        <v>597.82735398564319</v>
      </c>
      <c r="S23" s="29" t="s">
        <v>26</v>
      </c>
      <c r="T23" s="12"/>
      <c r="U23" s="45">
        <f>+U8*U18</f>
        <v>517.40630061689262</v>
      </c>
      <c r="V23" s="45">
        <f>(U8*V18)</f>
        <v>750.23913589449421</v>
      </c>
      <c r="W23" s="45">
        <f>+U8*W18</f>
        <v>25.870315030844633</v>
      </c>
      <c r="X23" s="111">
        <f>SUM(U23:W23)</f>
        <v>1293.5157515422316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0.47830870795347374</v>
      </c>
      <c r="C24" s="4">
        <v>10</v>
      </c>
      <c r="D24" s="112">
        <f>(SUM(R70:R79)*F70)+(SUM(V70:V79)*F70)</f>
        <v>10650.5</v>
      </c>
      <c r="E24" s="113">
        <f>+F24/SUM(F24:F26)</f>
        <v>0.47830870795347369</v>
      </c>
      <c r="F24" s="90">
        <f>+D24*E23</f>
        <v>94.428970735883041</v>
      </c>
      <c r="G24" s="12"/>
      <c r="H24" s="99">
        <f>+L24/L23</f>
        <v>0.47830870795347374</v>
      </c>
      <c r="I24" s="114">
        <f>+L24/(L18+L23)</f>
        <v>0.18636697697207252</v>
      </c>
      <c r="J24" s="93">
        <f>+M24/M27</f>
        <v>0.1850013875365</v>
      </c>
      <c r="L24" s="56">
        <f>SUM(Y70:Y79)</f>
        <v>380.375</v>
      </c>
      <c r="M24" s="94">
        <f>+L24-F24</f>
        <v>285.94602926411699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668.35171413027717</v>
      </c>
      <c r="V24" s="45">
        <f>((+U11+U12)*V19)</f>
        <v>0</v>
      </c>
      <c r="W24" s="45">
        <f>(+U11)*W19</f>
        <v>27.84798808876155</v>
      </c>
      <c r="X24" s="111">
        <f>SUM(U24:W24)</f>
        <v>696.19970221903873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0.14618044640050298</v>
      </c>
      <c r="C25" s="4">
        <v>6</v>
      </c>
      <c r="D25" s="112">
        <f>(SUM(R81:R86)*F81)+(SUM(V81:V86)*F71)</f>
        <v>3255</v>
      </c>
      <c r="E25" s="97">
        <f>+F25/SUM(F24:F26)</f>
        <v>0.14618044640050298</v>
      </c>
      <c r="F25" s="98">
        <f>+D25*E23</f>
        <v>28.859330523947168</v>
      </c>
      <c r="H25" s="99">
        <f>+L25/L23</f>
        <v>0.14618044640050298</v>
      </c>
      <c r="I25" s="114">
        <f>+L25/(+L18+L23)</f>
        <v>5.6957373836354727E-2</v>
      </c>
      <c r="J25" s="93">
        <f>+M25/M27</f>
        <v>5.654002313800361E-2</v>
      </c>
      <c r="K25" s="12"/>
      <c r="L25" s="56">
        <f>SUM(Y81:Y86)</f>
        <v>116.25</v>
      </c>
      <c r="M25" s="94">
        <f>+L25-F25</f>
        <v>87.390669476052835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105.19318928571424</v>
      </c>
      <c r="V25" s="115">
        <f>(+U9+U10+U13)*V20</f>
        <v>105.19318928571424</v>
      </c>
      <c r="W25" s="115">
        <f>(+U9+U10+U13)*W20</f>
        <v>23.376264285714274</v>
      </c>
      <c r="X25" s="111">
        <f>SUM(U25:W25)</f>
        <v>233.76264285714277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0.37551084564602327</v>
      </c>
      <c r="C26" s="4">
        <v>10</v>
      </c>
      <c r="D26" s="112">
        <f>(SUM(R88:R101)*F88)+(SUM(V88:V101)*F72)</f>
        <v>8361.5</v>
      </c>
      <c r="E26" s="101">
        <f>+F26/SUM(F24:F26)</f>
        <v>0.37551084564602327</v>
      </c>
      <c r="F26" s="102">
        <f>+D26*E23</f>
        <v>74.134344754526651</v>
      </c>
      <c r="H26" s="99">
        <f>+L26/L23</f>
        <v>0.37551084564602327</v>
      </c>
      <c r="I26" s="114">
        <f>+L26/(+L18+L23)</f>
        <v>0.14631308182263597</v>
      </c>
      <c r="J26" s="93">
        <f>+M26/M27</f>
        <v>0.14524098416848455</v>
      </c>
      <c r="K26" s="116"/>
      <c r="L26" s="103">
        <f>SUM(Y88:Y101)</f>
        <v>298.625</v>
      </c>
      <c r="M26" s="117">
        <f>+L26-F26</f>
        <v>224.49065524547336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1290.9512040328841</v>
      </c>
      <c r="V26" s="45">
        <f>SUM(V23:V25)</f>
        <v>855.43232518020841</v>
      </c>
      <c r="W26" s="45">
        <f>SUM(W23:W25)</f>
        <v>77.094567405320461</v>
      </c>
      <c r="X26" s="111">
        <f>SUM(U26:W26)</f>
        <v>2223.478096618413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2041</v>
      </c>
      <c r="M27" s="122">
        <f>+M18+M23</f>
        <v>1545.6426196138721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40938</v>
      </c>
      <c r="B30" s="12"/>
      <c r="C30" s="136">
        <f>+B3</f>
        <v>40942</v>
      </c>
      <c r="D30" s="136">
        <f>+B2</f>
        <v>40944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358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5</v>
      </c>
      <c r="H33" s="152">
        <v>2</v>
      </c>
      <c r="I33" s="153">
        <v>8.6999999999999993</v>
      </c>
      <c r="J33" s="154">
        <f>+J31</f>
        <v>0</v>
      </c>
      <c r="K33" s="12"/>
      <c r="L33" s="151">
        <f>+F30</f>
        <v>2</v>
      </c>
      <c r="M33" s="152">
        <v>2</v>
      </c>
      <c r="N33" s="153">
        <v>8.6</v>
      </c>
      <c r="O33" s="154">
        <f>+O31</f>
        <v>0</v>
      </c>
      <c r="P33" s="12"/>
      <c r="Q33" s="155">
        <f>((+H33+(I33/16))-J33)*20</f>
        <v>50.875</v>
      </c>
      <c r="R33" s="156">
        <f>+Q33/E33</f>
        <v>11.970588235294118</v>
      </c>
      <c r="S33" s="157">
        <f>(+R33/C33)/G33</f>
        <v>2.3941176470588235</v>
      </c>
      <c r="T33" s="12"/>
      <c r="U33" s="155">
        <f>((+M33+(N33/16))-O33)*20</f>
        <v>50.75</v>
      </c>
      <c r="V33" s="156">
        <f>+U33/E33</f>
        <v>11.941176470588236</v>
      </c>
      <c r="W33" s="157">
        <f>(+V33/C33)/L33</f>
        <v>5.9705882352941178</v>
      </c>
      <c r="X33" s="30" t="s">
        <v>127</v>
      </c>
      <c r="Y33" s="50">
        <f>+U33+Q33</f>
        <v>101.625</v>
      </c>
      <c r="Z33" s="158">
        <f>+Y33/Y113</f>
        <v>4.9791768740813327E-2</v>
      </c>
      <c r="AA33" s="159">
        <f>((+R33+V33)/C33)/(+G33+L33)</f>
        <v>3.4159663865546221</v>
      </c>
      <c r="AB33" s="359"/>
      <c r="AD33" s="5">
        <v>50</v>
      </c>
      <c r="AE33" s="160">
        <f>+E33/AD33</f>
        <v>8.5000000000000006E-2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5</v>
      </c>
      <c r="H34" s="163">
        <v>6</v>
      </c>
      <c r="I34" s="164">
        <v>5.6</v>
      </c>
      <c r="J34" s="154">
        <f>+J33</f>
        <v>0</v>
      </c>
      <c r="K34" s="12"/>
      <c r="L34" s="151">
        <f>+L33</f>
        <v>2</v>
      </c>
      <c r="M34" s="163">
        <v>5</v>
      </c>
      <c r="N34" s="164">
        <v>1.6</v>
      </c>
      <c r="O34" s="154">
        <f>+O33</f>
        <v>0</v>
      </c>
      <c r="P34" s="12"/>
      <c r="Q34" s="165">
        <f>(((+H34+(I34/16))-J34)-((+H33+(I33/16))-J33))*20</f>
        <v>76.124999999999986</v>
      </c>
      <c r="R34" s="156">
        <f>+Q34/E34</f>
        <v>17.911764705882348</v>
      </c>
      <c r="S34" s="157">
        <f>(+R34/C34)/G34</f>
        <v>3.5823529411764694</v>
      </c>
      <c r="T34" s="12"/>
      <c r="U34" s="165">
        <f>(((+M34+(N34/16))-O34)-((+M33+(N33/16))-O33))*20</f>
        <v>51.249999999999993</v>
      </c>
      <c r="V34" s="156">
        <f>+U34/E34</f>
        <v>12.058823529411763</v>
      </c>
      <c r="W34" s="157">
        <f>(+V34/C34)/L34</f>
        <v>6.0294117647058814</v>
      </c>
      <c r="X34" s="30" t="s">
        <v>129</v>
      </c>
      <c r="Y34" s="50">
        <f>+U34+Q34</f>
        <v>127.37499999999997</v>
      </c>
      <c r="Z34" s="158">
        <f>+Y34/TOTAL_MEASUED_INCOME</f>
        <v>6.2408133268005865E-2</v>
      </c>
      <c r="AA34" s="159">
        <f>((+R34+V34)/C34)/(+G34+L34)</f>
        <v>4.2815126050420158</v>
      </c>
      <c r="AB34" s="359"/>
      <c r="AD34" s="5">
        <v>50</v>
      </c>
      <c r="AE34" s="160">
        <f>+E34/AD34</f>
        <v>8.5000000000000006E-2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5</v>
      </c>
      <c r="H35" s="163">
        <v>9</v>
      </c>
      <c r="I35" s="164">
        <v>11.9</v>
      </c>
      <c r="J35" s="154">
        <f>+J34</f>
        <v>0</v>
      </c>
      <c r="K35" s="12"/>
      <c r="L35" s="151">
        <f>+L34</f>
        <v>2</v>
      </c>
      <c r="M35" s="163">
        <v>8</v>
      </c>
      <c r="N35" s="164">
        <v>1</v>
      </c>
      <c r="O35" s="154">
        <f>+O34</f>
        <v>0</v>
      </c>
      <c r="P35" s="12"/>
      <c r="Q35" s="165">
        <f>(((+H35+(I35/16))-J35)-((+H34+(I34/16))-J34))*20</f>
        <v>67.875000000000014</v>
      </c>
      <c r="R35" s="156">
        <f>+Q35/E35</f>
        <v>15.970588235294121</v>
      </c>
      <c r="S35" s="157">
        <f>(+R35/C35)/G35</f>
        <v>3.1941176470588242</v>
      </c>
      <c r="T35" s="12"/>
      <c r="U35" s="165">
        <f>(((+M35+(N35/16))-O35)-((+M34+(N34/16))-O34))*20</f>
        <v>59.250000000000007</v>
      </c>
      <c r="V35" s="156">
        <f>+U35/E35</f>
        <v>13.941176470588237</v>
      </c>
      <c r="W35" s="157">
        <f>(+V35/C35)/L35</f>
        <v>6.9705882352941186</v>
      </c>
      <c r="X35" s="30" t="s">
        <v>132</v>
      </c>
      <c r="Y35" s="50">
        <f>+U35+Q35</f>
        <v>127.12500000000003</v>
      </c>
      <c r="Z35" s="158">
        <f>+Y35/TOTAL_MEASUED_INCOME</f>
        <v>6.2285644292013734E-2</v>
      </c>
      <c r="AA35" s="159">
        <f>((+R35+V35)/C35)/(+G35+L35)</f>
        <v>4.2731092436974798</v>
      </c>
      <c r="AB35" s="359"/>
      <c r="AD35" s="5">
        <v>50</v>
      </c>
      <c r="AE35" s="160">
        <f>+E35/AD35</f>
        <v>8.5000000000000006E-2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2</v>
      </c>
      <c r="I36" s="164">
        <v>5.3</v>
      </c>
      <c r="J36" s="154">
        <f>+J35</f>
        <v>0</v>
      </c>
      <c r="K36" s="12"/>
      <c r="L36" s="151">
        <f>+L35</f>
        <v>2</v>
      </c>
      <c r="M36" s="163">
        <v>10</v>
      </c>
      <c r="N36" s="164">
        <v>5.6</v>
      </c>
      <c r="O36" s="154">
        <f>+O35</f>
        <v>0</v>
      </c>
      <c r="P36" s="12"/>
      <c r="Q36" s="155">
        <f>((+H36+(I36/16))-J36)*20</f>
        <v>46.625</v>
      </c>
      <c r="R36" s="156">
        <f>+Q36/E36</f>
        <v>13.321428571428571</v>
      </c>
      <c r="S36" s="157">
        <f>(+R36/C36)/G36</f>
        <v>2.6642857142857141</v>
      </c>
      <c r="T36" s="12"/>
      <c r="U36" s="165">
        <f>(((+M36+(N36/16))-O36)-((+M35+(N35/16))-O35))*20</f>
        <v>45.749999999999993</v>
      </c>
      <c r="V36" s="156">
        <f>+U36/E36</f>
        <v>13.071428571428569</v>
      </c>
      <c r="W36" s="157">
        <f>(+V36/C36)/L36</f>
        <v>6.5357142857142847</v>
      </c>
      <c r="X36" s="30" t="s">
        <v>135</v>
      </c>
      <c r="Y36" s="50">
        <f>+U36+Q36</f>
        <v>92.375</v>
      </c>
      <c r="Z36" s="158">
        <f>+Y36/TOTAL_MEASUED_INCOME</f>
        <v>4.5259676629103379E-2</v>
      </c>
      <c r="AA36" s="159">
        <f>((+R36+V36)/C36)/(+G36+L36)</f>
        <v>3.7704081632653055</v>
      </c>
      <c r="AB36" s="359"/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4</v>
      </c>
      <c r="I37" s="164">
        <v>14.8</v>
      </c>
      <c r="J37" s="154">
        <f>+J36</f>
        <v>0</v>
      </c>
      <c r="K37" s="12"/>
      <c r="L37" s="151">
        <f>+L36</f>
        <v>2</v>
      </c>
      <c r="M37" s="163">
        <v>1</v>
      </c>
      <c r="N37" s="164">
        <v>12.7</v>
      </c>
      <c r="O37" s="154">
        <f>+O36</f>
        <v>0</v>
      </c>
      <c r="P37" s="12"/>
      <c r="Q37" s="165">
        <f>(((+H37+(I37/16))-J37)-((+H36+(I36/16))-J36))*20</f>
        <v>51.875</v>
      </c>
      <c r="R37" s="156">
        <f>+Q37/E37</f>
        <v>12.96875</v>
      </c>
      <c r="S37" s="157">
        <f>(+R37/C37)/G37</f>
        <v>2.59375</v>
      </c>
      <c r="T37" s="12"/>
      <c r="U37" s="155">
        <f>((+M37+(N37/16))-O37)*20</f>
        <v>35.875</v>
      </c>
      <c r="V37" s="156">
        <f>+U37/E37</f>
        <v>8.96875</v>
      </c>
      <c r="W37" s="157">
        <f>(+V37/C37)/L37</f>
        <v>4.484375</v>
      </c>
      <c r="X37" s="30" t="s">
        <v>129</v>
      </c>
      <c r="Y37" s="50">
        <f>+U37+Q37</f>
        <v>87.75</v>
      </c>
      <c r="Z37" s="158">
        <f>+Y37/TOTAL_MEASUED_INCOME</f>
        <v>4.2993630573248405E-2</v>
      </c>
      <c r="AA37" s="159">
        <f>((+R37+V37)/C37)/(+G37+L37)</f>
        <v>3.1339285714285716</v>
      </c>
      <c r="AB37" s="359"/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2.8857247899159661</v>
      </c>
      <c r="T38" s="12"/>
      <c r="U38" s="165"/>
      <c r="V38" s="156"/>
      <c r="W38" s="166">
        <f>AVERAGE(W33:W37)</f>
        <v>5.9981355042016808</v>
      </c>
      <c r="X38" s="30"/>
      <c r="Y38" s="50"/>
      <c r="Z38" s="167">
        <f>SUM(Y33:Y37)/TOTAL_MEASUED_INCOME</f>
        <v>0.26273885350318471</v>
      </c>
      <c r="AA38" s="168">
        <f>AVERAGE(AA33:AA37)</f>
        <v>3.7749849939975988</v>
      </c>
      <c r="AB38" s="359"/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12.7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35.875</v>
      </c>
      <c r="V39" s="156">
        <f t="shared" ref="V39:V44" si="3">+U39/E39</f>
        <v>17.9375</v>
      </c>
      <c r="W39" s="157">
        <f t="shared" ref="W39:W44" si="4">(+V39/C39)/L39</f>
        <v>8.96875</v>
      </c>
      <c r="X39" s="30" t="s">
        <v>139</v>
      </c>
      <c r="Y39" s="50">
        <f t="shared" ref="Y39:Y44" si="5">+U39+Q39</f>
        <v>35.875</v>
      </c>
      <c r="Z39" s="158">
        <f t="shared" ref="Z39:Z44" si="6">+Y39/TOTAL_MEASUED_INCOME</f>
        <v>1.757716805487506E-2</v>
      </c>
      <c r="AA39" s="159">
        <f t="shared" ref="AA39:AA44" si="7">((+R39+V39)/C39)/(+G39+L39)</f>
        <v>2.5625</v>
      </c>
      <c r="AB39" s="359"/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3</v>
      </c>
      <c r="N40" s="164">
        <v>4.7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30.000000000000004</v>
      </c>
      <c r="V40" s="156">
        <f t="shared" si="3"/>
        <v>15.000000000000002</v>
      </c>
      <c r="W40" s="157">
        <f t="shared" si="4"/>
        <v>7.5000000000000009</v>
      </c>
      <c r="X40" s="30" t="s">
        <v>141</v>
      </c>
      <c r="Y40" s="50">
        <f t="shared" si="5"/>
        <v>30.000000000000004</v>
      </c>
      <c r="Z40" s="158">
        <f t="shared" si="6"/>
        <v>1.4698677119059287E-2</v>
      </c>
      <c r="AA40" s="159">
        <f t="shared" si="7"/>
        <v>2.1428571428571432</v>
      </c>
      <c r="AB40" s="359"/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>
        <v>1</v>
      </c>
      <c r="N41" s="164">
        <v>5.5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26.875</v>
      </c>
      <c r="V41" s="156">
        <f t="shared" si="3"/>
        <v>11.944444444444445</v>
      </c>
      <c r="W41" s="157">
        <f t="shared" si="4"/>
        <v>5.9722222222222223</v>
      </c>
      <c r="X41" s="30" t="s">
        <v>143</v>
      </c>
      <c r="Y41" s="50">
        <f t="shared" si="5"/>
        <v>26.875</v>
      </c>
      <c r="Z41" s="158">
        <f t="shared" si="6"/>
        <v>1.3167564919157276E-2</v>
      </c>
      <c r="AA41" s="159">
        <f t="shared" si="7"/>
        <v>1.7063492063492063</v>
      </c>
      <c r="AB41" s="359"/>
      <c r="AD41" s="5">
        <v>25</v>
      </c>
      <c r="AE41" s="160">
        <f t="shared" si="8"/>
        <v>0.09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3</v>
      </c>
      <c r="N42" s="164">
        <v>0.4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33.625</v>
      </c>
      <c r="V42" s="156">
        <f t="shared" si="3"/>
        <v>14.944444444444445</v>
      </c>
      <c r="W42" s="157">
        <f t="shared" si="4"/>
        <v>7.4722222222222223</v>
      </c>
      <c r="X42" s="30" t="s">
        <v>145</v>
      </c>
      <c r="Y42" s="50">
        <f t="shared" si="5"/>
        <v>33.625</v>
      </c>
      <c r="Z42" s="158">
        <f t="shared" si="6"/>
        <v>1.6474767270945614E-2</v>
      </c>
      <c r="AA42" s="159">
        <f t="shared" si="7"/>
        <v>2.1349206349206349</v>
      </c>
      <c r="AD42" s="5">
        <v>25</v>
      </c>
      <c r="AE42" s="160">
        <f t="shared" si="8"/>
        <v>0.09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4</v>
      </c>
      <c r="N43" s="164">
        <v>13.2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36.000000000000007</v>
      </c>
      <c r="V43" s="156">
        <f t="shared" si="3"/>
        <v>16.000000000000004</v>
      </c>
      <c r="W43" s="157">
        <f t="shared" si="4"/>
        <v>8.0000000000000018</v>
      </c>
      <c r="X43" s="30" t="s">
        <v>147</v>
      </c>
      <c r="Y43" s="50">
        <f t="shared" si="5"/>
        <v>36.000000000000007</v>
      </c>
      <c r="Z43" s="158">
        <f t="shared" si="6"/>
        <v>1.7638412542871146E-2</v>
      </c>
      <c r="AA43" s="159">
        <f t="shared" si="7"/>
        <v>2.285714285714286</v>
      </c>
      <c r="AD43" s="5">
        <v>25</v>
      </c>
      <c r="AE43" s="160">
        <f t="shared" si="8"/>
        <v>0.09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6</v>
      </c>
      <c r="N44" s="164">
        <v>6.3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31.374999999999993</v>
      </c>
      <c r="V44" s="156">
        <f t="shared" si="3"/>
        <v>13.944444444444441</v>
      </c>
      <c r="W44" s="157">
        <f t="shared" si="4"/>
        <v>6.9722222222222205</v>
      </c>
      <c r="X44" s="30" t="s">
        <v>149</v>
      </c>
      <c r="Y44" s="50">
        <f t="shared" si="5"/>
        <v>31.374999999999993</v>
      </c>
      <c r="Z44" s="158">
        <f t="shared" si="6"/>
        <v>1.5372366487016165E-2</v>
      </c>
      <c r="AA44" s="159">
        <f t="shared" si="7"/>
        <v>1.9920634920634916</v>
      </c>
      <c r="AD44" s="5">
        <v>25</v>
      </c>
      <c r="AE44" s="160">
        <f t="shared" si="8"/>
        <v>0.09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7.4809027777777777</v>
      </c>
      <c r="X45" s="24"/>
      <c r="Y45" s="50"/>
      <c r="Z45" s="167">
        <f>SUM(Y39:Y44)/TOTAL_MEASUED_INCOME</f>
        <v>9.4928956393924541E-2</v>
      </c>
      <c r="AA45" s="168">
        <f>AVERAGE(AA39:AA44)</f>
        <v>2.1374007936507939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>
        <v>1</v>
      </c>
      <c r="N46" s="164">
        <v>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22.5</v>
      </c>
      <c r="V46" s="156">
        <f t="shared" ref="V46:V57" si="12">+U46/E46</f>
        <v>18</v>
      </c>
      <c r="W46" s="157">
        <f t="shared" ref="W46:W57" si="13">(+V46/C46)/L46</f>
        <v>9</v>
      </c>
      <c r="X46" s="30" t="s">
        <v>151</v>
      </c>
      <c r="Y46" s="50">
        <f t="shared" ref="Y46:Y57" si="14">+U46+Q46</f>
        <v>22.5</v>
      </c>
      <c r="Z46" s="158">
        <f t="shared" ref="Z46:Z57" si="15">+Y46/TOTAL_MEASUED_INCOME</f>
        <v>1.1024007839294463E-2</v>
      </c>
      <c r="AA46" s="159">
        <f t="shared" ref="AA46:AA57" si="16">((+R46+V46)/C46)/(+G46+L46)</f>
        <v>2.5714285714285716</v>
      </c>
      <c r="AD46" s="5">
        <v>14</v>
      </c>
      <c r="AE46" s="160">
        <f t="shared" ref="AE46:AE57" si="17">+E46/AD46</f>
        <v>8.9285714285714288E-2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f t="shared" ref="E47:E57" si="18">+E46</f>
        <v>1.25</v>
      </c>
      <c r="F47" s="149"/>
      <c r="G47" s="151">
        <f t="shared" ref="G47:G57" si="19">+G46</f>
        <v>5</v>
      </c>
      <c r="H47" s="163"/>
      <c r="I47" s="164"/>
      <c r="J47" s="154">
        <f t="shared" ref="J47:J57" si="20">+J46</f>
        <v>0</v>
      </c>
      <c r="K47" s="12"/>
      <c r="L47" s="151">
        <f t="shared" ref="L47:L57" si="21">+L46</f>
        <v>2</v>
      </c>
      <c r="M47" s="163">
        <v>2</v>
      </c>
      <c r="N47" s="164">
        <v>6.9</v>
      </c>
      <c r="O47" s="154">
        <f t="shared" ref="O47:O57" si="22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 t="shared" ref="U47:U52" si="23">(((+M47+(N47/16))-O47)-((+M46+(N46/16))-O46))*20</f>
        <v>26.125</v>
      </c>
      <c r="V47" s="156">
        <f t="shared" si="12"/>
        <v>20.9</v>
      </c>
      <c r="W47" s="157">
        <f t="shared" si="13"/>
        <v>10.45</v>
      </c>
      <c r="X47" s="30" t="s">
        <v>153</v>
      </c>
      <c r="Y47" s="50">
        <f t="shared" si="14"/>
        <v>26.125</v>
      </c>
      <c r="Z47" s="158">
        <f t="shared" si="15"/>
        <v>1.2800097991180794E-2</v>
      </c>
      <c r="AA47" s="159">
        <f t="shared" si="16"/>
        <v>2.9857142857142853</v>
      </c>
      <c r="AD47" s="5">
        <v>14</v>
      </c>
      <c r="AE47" s="160">
        <f t="shared" si="17"/>
        <v>8.9285714285714288E-2</v>
      </c>
      <c r="AF47" s="4">
        <f t="shared" ref="AF47:AF57" si="24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f t="shared" si="18"/>
        <v>1.25</v>
      </c>
      <c r="F48" s="149"/>
      <c r="G48" s="151">
        <f t="shared" si="19"/>
        <v>5</v>
      </c>
      <c r="H48" s="163"/>
      <c r="I48" s="164"/>
      <c r="J48" s="154">
        <f t="shared" si="20"/>
        <v>0</v>
      </c>
      <c r="K48" s="12"/>
      <c r="L48" s="151">
        <f t="shared" si="21"/>
        <v>2</v>
      </c>
      <c r="M48" s="163">
        <v>3</v>
      </c>
      <c r="N48" s="164">
        <v>9.8000000000000007</v>
      </c>
      <c r="O48" s="154">
        <f t="shared" si="22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 t="shared" si="23"/>
        <v>23.625</v>
      </c>
      <c r="V48" s="156">
        <f t="shared" si="12"/>
        <v>18.899999999999999</v>
      </c>
      <c r="W48" s="157">
        <f t="shared" si="13"/>
        <v>9.4499999999999993</v>
      </c>
      <c r="X48" s="30" t="s">
        <v>155</v>
      </c>
      <c r="Y48" s="50">
        <f t="shared" si="14"/>
        <v>23.625</v>
      </c>
      <c r="Z48" s="158">
        <f t="shared" si="15"/>
        <v>1.1575208231259187E-2</v>
      </c>
      <c r="AA48" s="159">
        <f t="shared" si="16"/>
        <v>2.6999999999999997</v>
      </c>
      <c r="AD48" s="5">
        <v>14</v>
      </c>
      <c r="AE48" s="160">
        <f t="shared" si="17"/>
        <v>8.9285714285714288E-2</v>
      </c>
      <c r="AF48" s="4">
        <f t="shared" si="24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f t="shared" si="18"/>
        <v>1.25</v>
      </c>
      <c r="F49" s="149"/>
      <c r="G49" s="151">
        <f t="shared" si="19"/>
        <v>5</v>
      </c>
      <c r="H49" s="163"/>
      <c r="I49" s="164"/>
      <c r="J49" s="154">
        <f t="shared" si="20"/>
        <v>0</v>
      </c>
      <c r="K49" s="12"/>
      <c r="L49" s="151">
        <f t="shared" si="21"/>
        <v>2</v>
      </c>
      <c r="M49" s="163">
        <v>5</v>
      </c>
      <c r="N49" s="164">
        <v>14.8</v>
      </c>
      <c r="O49" s="154">
        <f t="shared" si="22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 t="shared" si="23"/>
        <v>46.25</v>
      </c>
      <c r="V49" s="156">
        <f t="shared" si="12"/>
        <v>37</v>
      </c>
      <c r="W49" s="157">
        <f t="shared" si="13"/>
        <v>18.5</v>
      </c>
      <c r="X49" s="30" t="s">
        <v>157</v>
      </c>
      <c r="Y49" s="50">
        <f t="shared" si="14"/>
        <v>46.25</v>
      </c>
      <c r="Z49" s="158">
        <f t="shared" si="15"/>
        <v>2.2660460558549731E-2</v>
      </c>
      <c r="AA49" s="159">
        <f t="shared" si="16"/>
        <v>5.2857142857142856</v>
      </c>
      <c r="AD49" s="5">
        <v>14</v>
      </c>
      <c r="AE49" s="160">
        <f t="shared" si="17"/>
        <v>8.9285714285714288E-2</v>
      </c>
      <c r="AF49" s="4">
        <f t="shared" si="24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f t="shared" si="18"/>
        <v>1.25</v>
      </c>
      <c r="F50" s="149"/>
      <c r="G50" s="151">
        <f t="shared" si="19"/>
        <v>5</v>
      </c>
      <c r="H50" s="163"/>
      <c r="I50" s="164"/>
      <c r="J50" s="154">
        <f t="shared" si="20"/>
        <v>0</v>
      </c>
      <c r="K50" s="12"/>
      <c r="L50" s="151">
        <f t="shared" si="21"/>
        <v>2</v>
      </c>
      <c r="M50" s="163">
        <v>7</v>
      </c>
      <c r="N50" s="164">
        <v>11.8</v>
      </c>
      <c r="O50" s="154">
        <f t="shared" si="22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 t="shared" si="23"/>
        <v>36.25</v>
      </c>
      <c r="V50" s="156">
        <f t="shared" si="12"/>
        <v>29</v>
      </c>
      <c r="W50" s="157">
        <f t="shared" si="13"/>
        <v>14.5</v>
      </c>
      <c r="X50" s="30" t="s">
        <v>159</v>
      </c>
      <c r="Y50" s="50">
        <f t="shared" si="14"/>
        <v>36.25</v>
      </c>
      <c r="Z50" s="158">
        <f t="shared" si="15"/>
        <v>1.7760901518863302E-2</v>
      </c>
      <c r="AA50" s="159">
        <f t="shared" si="16"/>
        <v>4.1428571428571432</v>
      </c>
      <c r="AD50" s="5">
        <v>14</v>
      </c>
      <c r="AE50" s="160">
        <f t="shared" si="17"/>
        <v>8.9285714285714288E-2</v>
      </c>
      <c r="AF50" s="4">
        <f t="shared" si="24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f t="shared" si="18"/>
        <v>1.25</v>
      </c>
      <c r="F51" s="149"/>
      <c r="G51" s="151">
        <f t="shared" si="19"/>
        <v>5</v>
      </c>
      <c r="H51" s="163"/>
      <c r="I51" s="164"/>
      <c r="J51" s="154">
        <f t="shared" si="20"/>
        <v>0</v>
      </c>
      <c r="K51" s="12"/>
      <c r="L51" s="151">
        <f t="shared" si="21"/>
        <v>2</v>
      </c>
      <c r="M51" s="163">
        <v>9</v>
      </c>
      <c r="N51" s="164">
        <v>2.7</v>
      </c>
      <c r="O51" s="154">
        <f t="shared" si="22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 t="shared" si="23"/>
        <v>28.624999999999989</v>
      </c>
      <c r="V51" s="156">
        <f t="shared" si="12"/>
        <v>22.899999999999991</v>
      </c>
      <c r="W51" s="157">
        <f t="shared" si="13"/>
        <v>11.449999999999996</v>
      </c>
      <c r="X51" s="30" t="s">
        <v>161</v>
      </c>
      <c r="Y51" s="50">
        <f t="shared" si="14"/>
        <v>28.624999999999989</v>
      </c>
      <c r="Z51" s="158">
        <f t="shared" si="15"/>
        <v>1.4024987751102395E-2</v>
      </c>
      <c r="AA51" s="159">
        <f t="shared" si="16"/>
        <v>3.27142857142857</v>
      </c>
      <c r="AD51" s="5">
        <v>14</v>
      </c>
      <c r="AE51" s="160">
        <f t="shared" si="17"/>
        <v>8.9285714285714288E-2</v>
      </c>
      <c r="AF51" s="4">
        <f t="shared" si="24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f t="shared" si="18"/>
        <v>1.25</v>
      </c>
      <c r="F52" s="149"/>
      <c r="G52" s="151">
        <f t="shared" si="19"/>
        <v>5</v>
      </c>
      <c r="H52" s="163"/>
      <c r="I52" s="164"/>
      <c r="J52" s="154">
        <f t="shared" si="20"/>
        <v>0</v>
      </c>
      <c r="K52" s="12"/>
      <c r="L52" s="151">
        <f t="shared" si="21"/>
        <v>2</v>
      </c>
      <c r="M52" s="163">
        <v>10</v>
      </c>
      <c r="N52" s="164">
        <v>14.7</v>
      </c>
      <c r="O52" s="154">
        <f t="shared" si="22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65">
        <f t="shared" si="23"/>
        <v>35</v>
      </c>
      <c r="V52" s="156">
        <f t="shared" si="12"/>
        <v>28</v>
      </c>
      <c r="W52" s="157">
        <f t="shared" si="13"/>
        <v>14</v>
      </c>
      <c r="X52" s="30" t="s">
        <v>163</v>
      </c>
      <c r="Y52" s="50">
        <f t="shared" si="14"/>
        <v>35</v>
      </c>
      <c r="Z52" s="158">
        <f t="shared" si="15"/>
        <v>1.71484566389025E-2</v>
      </c>
      <c r="AA52" s="159">
        <f t="shared" si="16"/>
        <v>4</v>
      </c>
      <c r="AD52" s="5">
        <v>14</v>
      </c>
      <c r="AE52" s="160">
        <f t="shared" si="17"/>
        <v>8.9285714285714288E-2</v>
      </c>
      <c r="AF52" s="4">
        <f t="shared" si="24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f t="shared" si="18"/>
        <v>1.25</v>
      </c>
      <c r="F53" s="149"/>
      <c r="G53" s="151">
        <f t="shared" si="19"/>
        <v>5</v>
      </c>
      <c r="H53" s="163"/>
      <c r="I53" s="164"/>
      <c r="J53" s="154">
        <f t="shared" si="20"/>
        <v>0</v>
      </c>
      <c r="K53" s="12"/>
      <c r="L53" s="151">
        <f t="shared" si="21"/>
        <v>2</v>
      </c>
      <c r="M53" s="163">
        <v>1</v>
      </c>
      <c r="N53" s="164">
        <v>9</v>
      </c>
      <c r="O53" s="154">
        <f t="shared" si="22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55">
        <f>((+M53+(N53/16))-O53)*20</f>
        <v>31.25</v>
      </c>
      <c r="V53" s="156">
        <f t="shared" si="12"/>
        <v>25</v>
      </c>
      <c r="W53" s="157">
        <f t="shared" si="13"/>
        <v>12.5</v>
      </c>
      <c r="X53" s="30" t="s">
        <v>165</v>
      </c>
      <c r="Y53" s="50">
        <f t="shared" si="14"/>
        <v>31.25</v>
      </c>
      <c r="Z53" s="158">
        <f t="shared" si="15"/>
        <v>1.5311121999020088E-2</v>
      </c>
      <c r="AA53" s="159">
        <f t="shared" si="16"/>
        <v>3.5714285714285716</v>
      </c>
      <c r="AD53" s="5">
        <v>14</v>
      </c>
      <c r="AE53" s="160">
        <f t="shared" si="17"/>
        <v>8.9285714285714288E-2</v>
      </c>
      <c r="AF53" s="4">
        <f t="shared" si="24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f t="shared" si="18"/>
        <v>1.25</v>
      </c>
      <c r="F54" s="149"/>
      <c r="G54" s="151">
        <f t="shared" si="19"/>
        <v>5</v>
      </c>
      <c r="H54" s="163"/>
      <c r="I54" s="164"/>
      <c r="J54" s="154">
        <f t="shared" si="20"/>
        <v>0</v>
      </c>
      <c r="K54" s="12"/>
      <c r="L54" s="151">
        <f t="shared" si="21"/>
        <v>2</v>
      </c>
      <c r="M54" s="163">
        <v>2</v>
      </c>
      <c r="N54" s="164">
        <v>13</v>
      </c>
      <c r="O54" s="154">
        <f t="shared" si="22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25</v>
      </c>
      <c r="V54" s="156">
        <f t="shared" si="12"/>
        <v>20</v>
      </c>
      <c r="W54" s="157">
        <f t="shared" si="13"/>
        <v>10</v>
      </c>
      <c r="X54" s="30" t="s">
        <v>167</v>
      </c>
      <c r="Y54" s="50">
        <f t="shared" si="14"/>
        <v>25</v>
      </c>
      <c r="Z54" s="158">
        <f t="shared" si="15"/>
        <v>1.2248897599216071E-2</v>
      </c>
      <c r="AA54" s="159">
        <f t="shared" si="16"/>
        <v>2.8571428571428572</v>
      </c>
      <c r="AD54" s="5">
        <v>14</v>
      </c>
      <c r="AE54" s="160">
        <f t="shared" si="17"/>
        <v>8.9285714285714288E-2</v>
      </c>
      <c r="AF54" s="4">
        <f t="shared" si="24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f t="shared" si="18"/>
        <v>1.25</v>
      </c>
      <c r="F55" s="149"/>
      <c r="G55" s="151">
        <f t="shared" si="19"/>
        <v>5</v>
      </c>
      <c r="H55" s="163"/>
      <c r="I55" s="164"/>
      <c r="J55" s="154">
        <f t="shared" si="20"/>
        <v>0</v>
      </c>
      <c r="K55" s="12"/>
      <c r="L55" s="151">
        <f t="shared" si="21"/>
        <v>2</v>
      </c>
      <c r="M55" s="163">
        <v>4</v>
      </c>
      <c r="N55" s="164">
        <v>12</v>
      </c>
      <c r="O55" s="154">
        <f t="shared" si="22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38.75</v>
      </c>
      <c r="V55" s="156">
        <f t="shared" si="12"/>
        <v>31</v>
      </c>
      <c r="W55" s="157">
        <f t="shared" si="13"/>
        <v>15.5</v>
      </c>
      <c r="X55" s="30" t="s">
        <v>169</v>
      </c>
      <c r="Y55" s="50">
        <f t="shared" si="14"/>
        <v>38.75</v>
      </c>
      <c r="Z55" s="158">
        <f t="shared" si="15"/>
        <v>1.898579127878491E-2</v>
      </c>
      <c r="AA55" s="159">
        <f t="shared" si="16"/>
        <v>4.4285714285714288</v>
      </c>
      <c r="AD55" s="5">
        <v>14</v>
      </c>
      <c r="AE55" s="160">
        <f t="shared" si="17"/>
        <v>8.9285714285714288E-2</v>
      </c>
      <c r="AF55" s="4">
        <f t="shared" si="24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f t="shared" si="18"/>
        <v>1.25</v>
      </c>
      <c r="F56" s="149"/>
      <c r="G56" s="151">
        <f t="shared" si="19"/>
        <v>5</v>
      </c>
      <c r="H56" s="163"/>
      <c r="I56" s="164"/>
      <c r="J56" s="154">
        <f t="shared" si="20"/>
        <v>0</v>
      </c>
      <c r="K56" s="12"/>
      <c r="L56" s="151">
        <f t="shared" si="21"/>
        <v>2</v>
      </c>
      <c r="M56" s="163">
        <v>6</v>
      </c>
      <c r="N56" s="164">
        <v>8.9</v>
      </c>
      <c r="O56" s="154">
        <f t="shared" si="22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36.125000000000007</v>
      </c>
      <c r="V56" s="156">
        <f t="shared" si="12"/>
        <v>28.900000000000006</v>
      </c>
      <c r="W56" s="157">
        <f t="shared" si="13"/>
        <v>14.450000000000003</v>
      </c>
      <c r="X56" s="30" t="s">
        <v>171</v>
      </c>
      <c r="Y56" s="50">
        <f t="shared" si="14"/>
        <v>36.125000000000007</v>
      </c>
      <c r="Z56" s="158">
        <f t="shared" si="15"/>
        <v>1.7699657030867226E-2</v>
      </c>
      <c r="AA56" s="159">
        <f t="shared" si="16"/>
        <v>4.128571428571429</v>
      </c>
      <c r="AD56" s="5">
        <v>14</v>
      </c>
      <c r="AE56" s="160">
        <f t="shared" si="17"/>
        <v>8.9285714285714288E-2</v>
      </c>
      <c r="AF56" s="4">
        <f t="shared" si="24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f t="shared" si="18"/>
        <v>1.25</v>
      </c>
      <c r="F57" s="149"/>
      <c r="G57" s="151">
        <f t="shared" si="19"/>
        <v>5</v>
      </c>
      <c r="H57" s="163"/>
      <c r="I57" s="171"/>
      <c r="J57" s="154">
        <f t="shared" si="20"/>
        <v>0</v>
      </c>
      <c r="K57" s="12"/>
      <c r="L57" s="151">
        <f t="shared" si="21"/>
        <v>2</v>
      </c>
      <c r="M57" s="163">
        <v>7</v>
      </c>
      <c r="N57" s="164">
        <v>2.9</v>
      </c>
      <c r="O57" s="154">
        <f t="shared" si="22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12.5</v>
      </c>
      <c r="V57" s="156">
        <f t="shared" si="12"/>
        <v>10</v>
      </c>
      <c r="W57" s="157">
        <f t="shared" si="13"/>
        <v>5</v>
      </c>
      <c r="X57" s="30" t="s">
        <v>173</v>
      </c>
      <c r="Y57" s="50">
        <f t="shared" si="14"/>
        <v>12.5</v>
      </c>
      <c r="Z57" s="158">
        <f t="shared" si="15"/>
        <v>6.1244487996080354E-3</v>
      </c>
      <c r="AA57" s="159">
        <f t="shared" si="16"/>
        <v>1.4285714285714286</v>
      </c>
      <c r="AD57" s="5">
        <v>14</v>
      </c>
      <c r="AE57" s="160">
        <f t="shared" si="17"/>
        <v>8.9285714285714288E-2</v>
      </c>
      <c r="AF57" s="4">
        <f t="shared" si="24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163"/>
      <c r="N58" s="164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12.066666666666668</v>
      </c>
      <c r="X58" s="24"/>
      <c r="Y58" s="50"/>
      <c r="Z58" s="167">
        <f>SUM(Y46:Y57)/TOTAL_MEASUED_INCOME</f>
        <v>0.1773640372366487</v>
      </c>
      <c r="AA58" s="168">
        <f>AVERAGE(AA46:AA57)</f>
        <v>3.4476190476190474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64">
        <v>7.7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29.625</v>
      </c>
      <c r="V59" s="156">
        <f>+U59/E59</f>
        <v>16.928571428571427</v>
      </c>
      <c r="W59" s="157">
        <f>(+V59/C59)/L59</f>
        <v>8.4642857142857135</v>
      </c>
      <c r="X59" s="30" t="s">
        <v>176</v>
      </c>
      <c r="Y59" s="50">
        <f>+U59+Q59</f>
        <v>29.625</v>
      </c>
      <c r="Z59" s="158">
        <f>+Y59/TOTAL_MEASUED_INCOME</f>
        <v>1.4514943655071043E-2</v>
      </c>
      <c r="AA59" s="159">
        <f>((+R59+V59)/C59)/(+G59+L59)</f>
        <v>2.4183673469387754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3</v>
      </c>
      <c r="N60" s="164">
        <v>2.2999999999999998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33.25</v>
      </c>
      <c r="V60" s="156">
        <f>+U60/E60</f>
        <v>19</v>
      </c>
      <c r="W60" s="157">
        <f>(+V60/C60)/L60</f>
        <v>9.5</v>
      </c>
      <c r="X60" s="30" t="s">
        <v>178</v>
      </c>
      <c r="Y60" s="50">
        <f>+U60+Q60</f>
        <v>33.25</v>
      </c>
      <c r="Z60" s="158">
        <f>+Y60/TOTAL_MEASUED_INCOME</f>
        <v>1.6291033806957372E-2</v>
      </c>
      <c r="AA60" s="159">
        <f>((+R60+V60)/C60)/(+G60+L60)</f>
        <v>2.7142857142857144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4</v>
      </c>
      <c r="N61" s="164">
        <v>7.3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26.25</v>
      </c>
      <c r="V61" s="156">
        <f>+U61/E61</f>
        <v>15</v>
      </c>
      <c r="W61" s="157">
        <f>(+V61/C61)/L61</f>
        <v>7.5</v>
      </c>
      <c r="X61" s="30" t="s">
        <v>180</v>
      </c>
      <c r="Y61" s="50">
        <f>+U61+Q61</f>
        <v>26.25</v>
      </c>
      <c r="Z61" s="158">
        <f>+Y61/TOTAL_MEASUED_INCOME</f>
        <v>1.2861342479176875E-2</v>
      </c>
      <c r="AA61" s="159">
        <f>((+R61+V61)/C61)/(+G61+L61)</f>
        <v>2.1428571428571428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64">
        <v>15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29.625000000000004</v>
      </c>
      <c r="V62" s="156">
        <f>+U62/E62</f>
        <v>16.928571428571431</v>
      </c>
      <c r="W62" s="157">
        <f>(+V62/C62)/L62</f>
        <v>8.4642857142857153</v>
      </c>
      <c r="X62" s="30" t="s">
        <v>182</v>
      </c>
      <c r="Y62" s="50">
        <f>+U62+Q62</f>
        <v>29.625000000000004</v>
      </c>
      <c r="Z62" s="158">
        <f>+Y62/TOTAL_MEASUED_INCOME</f>
        <v>1.4514943655071045E-2</v>
      </c>
      <c r="AA62" s="159">
        <f>((+R62+V62)/C62)/(+G62+L62)</f>
        <v>2.4183673469387759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7</v>
      </c>
      <c r="N63" s="203">
        <v>11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35</v>
      </c>
      <c r="V63" s="156">
        <f>+U63/E63</f>
        <v>20</v>
      </c>
      <c r="W63" s="157">
        <f>(+V63/C63)/L63</f>
        <v>10</v>
      </c>
      <c r="X63" s="30" t="s">
        <v>184</v>
      </c>
      <c r="Y63" s="50">
        <f>+U63+Q63</f>
        <v>35</v>
      </c>
      <c r="Z63" s="158">
        <f>+Y63/TOTAL_MEASUED_INCOME</f>
        <v>1.71484566389025E-2</v>
      </c>
      <c r="AA63" s="159">
        <f>((+R63+V63)/C63)/(+G63+L63)</f>
        <v>2.8571428571428572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8.7857142857142865</v>
      </c>
      <c r="X64" s="30"/>
      <c r="Y64" s="50">
        <f>SUM(Y33:Y63)</f>
        <v>1245.75</v>
      </c>
      <c r="Z64" s="167">
        <f>SUM(Y59:Y63)/TOTAL_MEASUED_INCOME</f>
        <v>7.5330720235178839E-2</v>
      </c>
      <c r="AA64" s="168">
        <f>AVERAGE(AA59:AA63)</f>
        <v>2.5102040816326534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40938</v>
      </c>
      <c r="B67" s="12"/>
      <c r="C67" s="136">
        <f>+C30</f>
        <v>40942</v>
      </c>
      <c r="D67" s="136">
        <f>+D30</f>
        <v>40944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2</v>
      </c>
      <c r="N70" s="153">
        <v>1.8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42.25</v>
      </c>
      <c r="V70" s="156">
        <f t="shared" ref="V70:V79" si="27">+U70/E70</f>
        <v>169</v>
      </c>
      <c r="W70" s="192">
        <f t="shared" ref="W70:W79" si="28">((+U70/+E70)*F70)/(L70+G70)</f>
        <v>169</v>
      </c>
      <c r="X70" s="193">
        <f>+X67*60</f>
        <v>840</v>
      </c>
      <c r="Y70" s="50">
        <f t="shared" ref="Y70:Y79" si="29">+U70+Q70</f>
        <v>42.25</v>
      </c>
      <c r="Z70" s="158">
        <f t="shared" ref="Z70:Z79" si="30">+Y70/TOTAL_MEASUED_INCOME</f>
        <v>2.0700636942675158E-2</v>
      </c>
      <c r="AA70" s="194">
        <f t="shared" ref="AA70:AA79" si="31">((+V70+R70)*F70)/(+X70*7)</f>
        <v>0.2011904761904762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5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2</v>
      </c>
      <c r="M71" s="163">
        <v>3</v>
      </c>
      <c r="N71" s="164">
        <v>1.9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20.125</v>
      </c>
      <c r="V71" s="156">
        <f t="shared" si="27"/>
        <v>80.5</v>
      </c>
      <c r="W71" s="192">
        <f t="shared" si="28"/>
        <v>80.5</v>
      </c>
      <c r="X71" s="193">
        <f t="shared" ref="X71:X79" si="36">+X70</f>
        <v>840</v>
      </c>
      <c r="Y71" s="50">
        <f t="shared" si="29"/>
        <v>20.125</v>
      </c>
      <c r="Z71" s="158">
        <f t="shared" si="30"/>
        <v>9.8603625673689375E-3</v>
      </c>
      <c r="AA71" s="194">
        <f t="shared" si="31"/>
        <v>9.583333333333334E-2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5</v>
      </c>
      <c r="H72" s="163"/>
      <c r="I72" s="164"/>
      <c r="J72" s="154">
        <f t="shared" si="33"/>
        <v>0</v>
      </c>
      <c r="K72" s="178"/>
      <c r="L72" s="151">
        <f t="shared" si="34"/>
        <v>2</v>
      </c>
      <c r="M72" s="163">
        <v>5</v>
      </c>
      <c r="N72" s="164">
        <v>2.6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40.874999999999993</v>
      </c>
      <c r="V72" s="156">
        <f t="shared" si="27"/>
        <v>163.49999999999997</v>
      </c>
      <c r="W72" s="192">
        <f t="shared" si="28"/>
        <v>163.49999999999997</v>
      </c>
      <c r="X72" s="193">
        <f t="shared" si="36"/>
        <v>840</v>
      </c>
      <c r="Y72" s="50">
        <f t="shared" si="29"/>
        <v>40.874999999999993</v>
      </c>
      <c r="Z72" s="158">
        <f t="shared" si="30"/>
        <v>2.0026947574718273E-2</v>
      </c>
      <c r="AA72" s="194">
        <f t="shared" si="31"/>
        <v>0.19464285714285712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5</v>
      </c>
      <c r="H73" s="163"/>
      <c r="I73" s="164"/>
      <c r="J73" s="154">
        <f t="shared" si="33"/>
        <v>0</v>
      </c>
      <c r="K73" s="178"/>
      <c r="L73" s="151">
        <f t="shared" si="34"/>
        <v>2</v>
      </c>
      <c r="M73" s="163">
        <v>6</v>
      </c>
      <c r="N73" s="164">
        <v>4.7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22.625000000000011</v>
      </c>
      <c r="V73" s="156">
        <f t="shared" si="27"/>
        <v>90.500000000000043</v>
      </c>
      <c r="W73" s="192">
        <f t="shared" si="28"/>
        <v>90.500000000000043</v>
      </c>
      <c r="X73" s="193">
        <f t="shared" si="36"/>
        <v>840</v>
      </c>
      <c r="Y73" s="50">
        <f t="shared" si="29"/>
        <v>22.625000000000011</v>
      </c>
      <c r="Z73" s="158">
        <f t="shared" si="30"/>
        <v>1.1085252327290549E-2</v>
      </c>
      <c r="AA73" s="194">
        <f t="shared" si="31"/>
        <v>0.1077380952380953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5</v>
      </c>
      <c r="H74" s="163"/>
      <c r="I74" s="164"/>
      <c r="J74" s="154">
        <f t="shared" si="33"/>
        <v>0</v>
      </c>
      <c r="K74" s="178"/>
      <c r="L74" s="151">
        <f t="shared" si="34"/>
        <v>2</v>
      </c>
      <c r="M74" s="163">
        <v>8</v>
      </c>
      <c r="N74" s="164">
        <v>14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51.625</v>
      </c>
      <c r="V74" s="156">
        <f t="shared" si="27"/>
        <v>206.5</v>
      </c>
      <c r="W74" s="192">
        <f t="shared" si="28"/>
        <v>206.5</v>
      </c>
      <c r="X74" s="193">
        <f t="shared" si="36"/>
        <v>840</v>
      </c>
      <c r="Y74" s="50">
        <f t="shared" si="29"/>
        <v>51.625</v>
      </c>
      <c r="Z74" s="158">
        <f t="shared" si="30"/>
        <v>2.5293973542381186E-2</v>
      </c>
      <c r="AA74" s="194">
        <f t="shared" si="31"/>
        <v>0.24583333333333332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5</v>
      </c>
      <c r="H75" s="163"/>
      <c r="I75" s="164"/>
      <c r="J75" s="154">
        <f t="shared" si="33"/>
        <v>0</v>
      </c>
      <c r="K75" s="178"/>
      <c r="L75" s="151">
        <f t="shared" si="34"/>
        <v>2</v>
      </c>
      <c r="M75" s="163">
        <v>10</v>
      </c>
      <c r="N75" s="164">
        <v>6.7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30.874999999999986</v>
      </c>
      <c r="V75" s="156">
        <f t="shared" si="27"/>
        <v>123.49999999999994</v>
      </c>
      <c r="W75" s="192">
        <f t="shared" si="28"/>
        <v>123.49999999999993</v>
      </c>
      <c r="X75" s="193">
        <f t="shared" si="36"/>
        <v>840</v>
      </c>
      <c r="Y75" s="50">
        <f t="shared" si="29"/>
        <v>30.874999999999986</v>
      </c>
      <c r="Z75" s="158">
        <f t="shared" si="30"/>
        <v>1.512738853503184E-2</v>
      </c>
      <c r="AA75" s="194">
        <f t="shared" si="31"/>
        <v>0.14702380952380945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5</v>
      </c>
      <c r="H76" s="163"/>
      <c r="I76" s="164"/>
      <c r="J76" s="154">
        <f t="shared" si="33"/>
        <v>0</v>
      </c>
      <c r="K76" s="178"/>
      <c r="L76" s="151">
        <f t="shared" si="34"/>
        <v>2</v>
      </c>
      <c r="M76" s="163">
        <v>2</v>
      </c>
      <c r="N76" s="164">
        <v>6.1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47.625</v>
      </c>
      <c r="V76" s="156">
        <f t="shared" si="27"/>
        <v>190.5</v>
      </c>
      <c r="W76" s="192">
        <f t="shared" si="28"/>
        <v>190.5</v>
      </c>
      <c r="X76" s="193">
        <f t="shared" si="36"/>
        <v>840</v>
      </c>
      <c r="Y76" s="50">
        <f t="shared" si="29"/>
        <v>47.625</v>
      </c>
      <c r="Z76" s="158">
        <f t="shared" si="30"/>
        <v>2.3334149926506613E-2</v>
      </c>
      <c r="AA76" s="194">
        <f t="shared" si="31"/>
        <v>0.22678571428571428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5</v>
      </c>
      <c r="H77" s="163"/>
      <c r="I77" s="164"/>
      <c r="J77" s="154">
        <f t="shared" si="33"/>
        <v>0</v>
      </c>
      <c r="K77" s="178"/>
      <c r="L77" s="151">
        <f t="shared" si="34"/>
        <v>2</v>
      </c>
      <c r="M77" s="163">
        <v>4</v>
      </c>
      <c r="N77" s="164">
        <v>2.1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34.999999999999993</v>
      </c>
      <c r="V77" s="156">
        <f t="shared" si="27"/>
        <v>139.99999999999997</v>
      </c>
      <c r="W77" s="192">
        <f t="shared" si="28"/>
        <v>139.99999999999997</v>
      </c>
      <c r="X77" s="193">
        <f t="shared" si="36"/>
        <v>840</v>
      </c>
      <c r="Y77" s="50">
        <f t="shared" si="29"/>
        <v>34.999999999999993</v>
      </c>
      <c r="Z77" s="158">
        <f t="shared" si="30"/>
        <v>1.7148456638902496E-2</v>
      </c>
      <c r="AA77" s="194">
        <f t="shared" si="31"/>
        <v>0.16666666666666663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5</v>
      </c>
      <c r="H78" s="163"/>
      <c r="I78" s="164"/>
      <c r="J78" s="154">
        <f t="shared" si="33"/>
        <v>0</v>
      </c>
      <c r="K78" s="178"/>
      <c r="L78" s="151">
        <f t="shared" si="34"/>
        <v>2</v>
      </c>
      <c r="M78" s="163">
        <v>6</v>
      </c>
      <c r="N78" s="164">
        <v>13.1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53.75</v>
      </c>
      <c r="V78" s="156">
        <f t="shared" si="27"/>
        <v>215</v>
      </c>
      <c r="W78" s="192">
        <f t="shared" si="28"/>
        <v>215</v>
      </c>
      <c r="X78" s="193">
        <f t="shared" si="36"/>
        <v>840</v>
      </c>
      <c r="Y78" s="50">
        <f t="shared" si="29"/>
        <v>53.75</v>
      </c>
      <c r="Z78" s="158">
        <f t="shared" si="30"/>
        <v>2.6335129838314552E-2</v>
      </c>
      <c r="AA78" s="194">
        <f t="shared" si="31"/>
        <v>0.25595238095238093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5</v>
      </c>
      <c r="H79" s="163"/>
      <c r="I79" s="164"/>
      <c r="J79" s="154">
        <f t="shared" si="33"/>
        <v>0</v>
      </c>
      <c r="K79" s="178"/>
      <c r="L79" s="151">
        <f t="shared" si="34"/>
        <v>2</v>
      </c>
      <c r="M79" s="163">
        <v>8</v>
      </c>
      <c r="N79" s="164">
        <v>9.6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35.625</v>
      </c>
      <c r="V79" s="156">
        <f t="shared" si="27"/>
        <v>142.5</v>
      </c>
      <c r="W79" s="192">
        <f t="shared" si="28"/>
        <v>142.5</v>
      </c>
      <c r="X79" s="193">
        <f t="shared" si="36"/>
        <v>840</v>
      </c>
      <c r="Y79" s="50">
        <f t="shared" si="29"/>
        <v>35.625</v>
      </c>
      <c r="Z79" s="158">
        <f t="shared" si="30"/>
        <v>1.7454679078882901E-2</v>
      </c>
      <c r="AA79" s="194">
        <f t="shared" si="31"/>
        <v>0.16964285714285715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0.18636697697207252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>
        <v>1</v>
      </c>
      <c r="N81" s="164">
        <v>3.9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24.875</v>
      </c>
      <c r="V81" s="156">
        <f t="shared" ref="V81:V86" si="40">+U81/E81</f>
        <v>99.5</v>
      </c>
      <c r="W81" s="192">
        <f t="shared" ref="W81:W86" si="41">((+U81/+E81)*F81)/(L81+G81)</f>
        <v>106.60714285714286</v>
      </c>
      <c r="X81" s="193">
        <f>+X79</f>
        <v>840</v>
      </c>
      <c r="Y81" s="50">
        <f t="shared" ref="Y81:Y86" si="42">+U81+Q81</f>
        <v>24.875</v>
      </c>
      <c r="Z81" s="158">
        <f t="shared" ref="Z81:Z86" si="43">+Y81/TOTAL_MEASUED_INCOME</f>
        <v>1.2187653111219989E-2</v>
      </c>
      <c r="AA81" s="194">
        <f t="shared" ref="AA81:AA86" si="44">((+V81+R81)*F81)/(+X81*7)</f>
        <v>0.12691326530612246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2</v>
      </c>
      <c r="N82" s="164">
        <v>8.4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25.625</v>
      </c>
      <c r="V82" s="156">
        <f t="shared" si="40"/>
        <v>102.5</v>
      </c>
      <c r="W82" s="192">
        <f t="shared" si="41"/>
        <v>109.82142857142857</v>
      </c>
      <c r="X82" s="193">
        <f>+X81</f>
        <v>840</v>
      </c>
      <c r="Y82" s="50">
        <f t="shared" si="42"/>
        <v>25.625</v>
      </c>
      <c r="Z82" s="158">
        <f t="shared" si="43"/>
        <v>1.2555120039196472E-2</v>
      </c>
      <c r="AA82" s="194">
        <f t="shared" si="44"/>
        <v>0.13073979591836735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3</v>
      </c>
      <c r="N83" s="164">
        <v>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18.25</v>
      </c>
      <c r="V83" s="156">
        <f t="shared" si="40"/>
        <v>73</v>
      </c>
      <c r="W83" s="192">
        <f t="shared" si="41"/>
        <v>78.214285714285708</v>
      </c>
      <c r="X83" s="193">
        <f>+X82</f>
        <v>840</v>
      </c>
      <c r="Y83" s="50">
        <f t="shared" si="42"/>
        <v>18.25</v>
      </c>
      <c r="Z83" s="158">
        <f t="shared" si="43"/>
        <v>8.9416952474277323E-3</v>
      </c>
      <c r="AA83" s="194">
        <f t="shared" si="44"/>
        <v>9.311224489795919E-2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4</v>
      </c>
      <c r="N84" s="164">
        <v>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15</v>
      </c>
      <c r="V84" s="156">
        <f t="shared" si="40"/>
        <v>60</v>
      </c>
      <c r="W84" s="192">
        <f t="shared" si="41"/>
        <v>64.285714285714292</v>
      </c>
      <c r="X84" s="193">
        <f>+X83</f>
        <v>840</v>
      </c>
      <c r="Y84" s="50">
        <f t="shared" si="42"/>
        <v>15</v>
      </c>
      <c r="Z84" s="158">
        <f t="shared" si="43"/>
        <v>7.3493385595296426E-3</v>
      </c>
      <c r="AA84" s="194">
        <f t="shared" si="44"/>
        <v>7.6530612244897961E-2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5</v>
      </c>
      <c r="N85" s="164">
        <v>0.5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16.875</v>
      </c>
      <c r="V85" s="156">
        <f t="shared" si="40"/>
        <v>67.5</v>
      </c>
      <c r="W85" s="192">
        <f t="shared" si="41"/>
        <v>72.321428571428569</v>
      </c>
      <c r="X85" s="193">
        <f>+X84</f>
        <v>840</v>
      </c>
      <c r="Y85" s="50">
        <f t="shared" si="42"/>
        <v>16.875</v>
      </c>
      <c r="Z85" s="158">
        <f t="shared" si="43"/>
        <v>8.268005879470847E-3</v>
      </c>
      <c r="AA85" s="194">
        <f t="shared" si="44"/>
        <v>8.6096938775510209E-2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13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15.625</v>
      </c>
      <c r="V86" s="156">
        <f t="shared" si="40"/>
        <v>62.5</v>
      </c>
      <c r="W86" s="192">
        <f t="shared" si="41"/>
        <v>66.964285714285708</v>
      </c>
      <c r="X86" s="193">
        <f>+X85</f>
        <v>840</v>
      </c>
      <c r="Y86" s="50">
        <f t="shared" si="42"/>
        <v>15.625</v>
      </c>
      <c r="Z86" s="158">
        <f t="shared" si="43"/>
        <v>7.6555609995100438E-3</v>
      </c>
      <c r="AA86" s="194">
        <f t="shared" si="44"/>
        <v>7.9719387755102039E-2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5.6957373836354727E-2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13.2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36.5</v>
      </c>
      <c r="V88" s="156">
        <f t="shared" ref="V88:V101" si="47">+U88/E88</f>
        <v>146</v>
      </c>
      <c r="W88" s="192">
        <f t="shared" ref="W88:W101" si="48">((+U88/+E88)*F88)/(L88+G88)</f>
        <v>146</v>
      </c>
      <c r="X88" s="193">
        <f>+X86</f>
        <v>840</v>
      </c>
      <c r="Y88" s="50">
        <f t="shared" ref="Y88:Y101" si="49">+U88+Q88</f>
        <v>36.5</v>
      </c>
      <c r="Z88" s="158">
        <f t="shared" ref="Z88:Z101" si="50">+Y88/TOTAL_MEASUED_INCOME</f>
        <v>1.7883390494855465E-2</v>
      </c>
      <c r="AA88" s="194">
        <f t="shared" ref="AA88:AA101" si="51">((+V88+R88)*F88)/(+X88*7)</f>
        <v>0.1738095238095238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5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2</v>
      </c>
      <c r="M89" s="163">
        <v>2</v>
      </c>
      <c r="N89" s="164">
        <v>15.2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96" si="57">(((+M89+(N89/16))-O89)-((+M88+(N88/16))-O88))*20</f>
        <v>22.500000000000004</v>
      </c>
      <c r="V89" s="156">
        <f t="shared" si="47"/>
        <v>90.000000000000014</v>
      </c>
      <c r="W89" s="192">
        <f t="shared" si="48"/>
        <v>90.000000000000014</v>
      </c>
      <c r="X89" s="193">
        <f t="shared" ref="X89:X101" si="58">+X88</f>
        <v>840</v>
      </c>
      <c r="Y89" s="50">
        <f t="shared" si="49"/>
        <v>22.500000000000004</v>
      </c>
      <c r="Z89" s="158">
        <f t="shared" si="50"/>
        <v>1.1024007839294464E-2</v>
      </c>
      <c r="AA89" s="194">
        <f t="shared" si="51"/>
        <v>0.10714285714285716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5</v>
      </c>
      <c r="H90" s="163"/>
      <c r="I90" s="164"/>
      <c r="J90" s="154">
        <f t="shared" si="53"/>
        <v>0</v>
      </c>
      <c r="K90" s="178"/>
      <c r="L90" s="151">
        <f t="shared" si="54"/>
        <v>2</v>
      </c>
      <c r="M90" s="163">
        <v>4</v>
      </c>
      <c r="N90" s="164">
        <v>11.5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35.375</v>
      </c>
      <c r="V90" s="156">
        <f t="shared" si="47"/>
        <v>141.5</v>
      </c>
      <c r="W90" s="192">
        <f t="shared" si="48"/>
        <v>141.5</v>
      </c>
      <c r="X90" s="193">
        <f t="shared" si="58"/>
        <v>840</v>
      </c>
      <c r="Y90" s="50">
        <f t="shared" si="49"/>
        <v>35.375</v>
      </c>
      <c r="Z90" s="158">
        <f t="shared" si="50"/>
        <v>1.7332190102890738E-2</v>
      </c>
      <c r="AA90" s="194">
        <f t="shared" si="51"/>
        <v>0.16845238095238096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5</v>
      </c>
      <c r="H91" s="163"/>
      <c r="I91" s="164"/>
      <c r="J91" s="154">
        <f t="shared" si="53"/>
        <v>0</v>
      </c>
      <c r="K91" s="178"/>
      <c r="L91" s="151">
        <f t="shared" si="54"/>
        <v>2</v>
      </c>
      <c r="M91" s="163">
        <v>5</v>
      </c>
      <c r="N91" s="164">
        <v>9.6999999999999993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17.750000000000004</v>
      </c>
      <c r="V91" s="156">
        <f t="shared" si="47"/>
        <v>71.000000000000014</v>
      </c>
      <c r="W91" s="192">
        <f t="shared" si="48"/>
        <v>71.000000000000014</v>
      </c>
      <c r="X91" s="193">
        <f t="shared" si="58"/>
        <v>840</v>
      </c>
      <c r="Y91" s="50">
        <f t="shared" si="49"/>
        <v>17.750000000000004</v>
      </c>
      <c r="Z91" s="158">
        <f t="shared" si="50"/>
        <v>8.6967172954434124E-3</v>
      </c>
      <c r="AA91" s="194">
        <f t="shared" si="51"/>
        <v>8.4523809523809543E-2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5</v>
      </c>
      <c r="H92" s="163"/>
      <c r="I92" s="164"/>
      <c r="J92" s="154">
        <f t="shared" si="53"/>
        <v>0</v>
      </c>
      <c r="K92" s="178"/>
      <c r="L92" s="151">
        <f t="shared" si="54"/>
        <v>2</v>
      </c>
      <c r="M92" s="163">
        <v>7</v>
      </c>
      <c r="N92" s="164">
        <v>7.6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37.374999999999986</v>
      </c>
      <c r="V92" s="156">
        <f t="shared" si="47"/>
        <v>149.49999999999994</v>
      </c>
      <c r="W92" s="192">
        <f t="shared" si="48"/>
        <v>149.49999999999994</v>
      </c>
      <c r="X92" s="193">
        <f t="shared" si="58"/>
        <v>840</v>
      </c>
      <c r="Y92" s="50">
        <f t="shared" si="49"/>
        <v>37.374999999999986</v>
      </c>
      <c r="Z92" s="158">
        <f t="shared" si="50"/>
        <v>1.8312101910828018E-2</v>
      </c>
      <c r="AA92" s="194">
        <f t="shared" si="51"/>
        <v>0.1779761904761904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5</v>
      </c>
      <c r="H93" s="163"/>
      <c r="I93" s="164"/>
      <c r="J93" s="154">
        <f t="shared" si="53"/>
        <v>0</v>
      </c>
      <c r="K93" s="178"/>
      <c r="L93" s="151">
        <f t="shared" si="54"/>
        <v>2</v>
      </c>
      <c r="M93" s="163">
        <v>8</v>
      </c>
      <c r="N93" s="164">
        <v>8.9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21.625000000000014</v>
      </c>
      <c r="V93" s="156">
        <f t="shared" si="47"/>
        <v>86.500000000000057</v>
      </c>
      <c r="W93" s="192">
        <f t="shared" si="48"/>
        <v>86.500000000000071</v>
      </c>
      <c r="X93" s="193">
        <f t="shared" si="58"/>
        <v>840</v>
      </c>
      <c r="Y93" s="50">
        <f t="shared" si="49"/>
        <v>21.625000000000014</v>
      </c>
      <c r="Z93" s="158">
        <f t="shared" si="50"/>
        <v>1.0595296423321908E-2</v>
      </c>
      <c r="AA93" s="194">
        <f t="shared" si="51"/>
        <v>0.10297619047619055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5</v>
      </c>
      <c r="H94" s="163"/>
      <c r="I94" s="164"/>
      <c r="J94" s="154">
        <f t="shared" si="53"/>
        <v>0</v>
      </c>
      <c r="K94" s="178"/>
      <c r="L94" s="151">
        <f t="shared" si="54"/>
        <v>2</v>
      </c>
      <c r="M94" s="163">
        <v>10</v>
      </c>
      <c r="N94" s="164">
        <v>3.6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33.374999999999986</v>
      </c>
      <c r="V94" s="156">
        <f t="shared" si="47"/>
        <v>133.49999999999994</v>
      </c>
      <c r="W94" s="192">
        <f t="shared" si="48"/>
        <v>133.49999999999994</v>
      </c>
      <c r="X94" s="193">
        <f t="shared" si="58"/>
        <v>840</v>
      </c>
      <c r="Y94" s="50">
        <f t="shared" si="49"/>
        <v>33.374999999999986</v>
      </c>
      <c r="Z94" s="158">
        <f t="shared" si="50"/>
        <v>1.6352278294953448E-2</v>
      </c>
      <c r="AA94" s="194">
        <f t="shared" si="51"/>
        <v>0.15892857142857136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5</v>
      </c>
      <c r="H95" s="163"/>
      <c r="I95" s="164"/>
      <c r="J95" s="154">
        <f t="shared" si="53"/>
        <v>0</v>
      </c>
      <c r="K95" s="178"/>
      <c r="L95" s="151">
        <f t="shared" si="54"/>
        <v>2</v>
      </c>
      <c r="M95" s="163">
        <v>1</v>
      </c>
      <c r="N95" s="164">
        <v>2.2000000000000002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55">
        <f>((+M95+(N95/16))-O95)*20</f>
        <v>22.75</v>
      </c>
      <c r="V95" s="156">
        <f t="shared" si="47"/>
        <v>91</v>
      </c>
      <c r="W95" s="192">
        <f t="shared" si="48"/>
        <v>91</v>
      </c>
      <c r="X95" s="193">
        <f t="shared" si="58"/>
        <v>840</v>
      </c>
      <c r="Y95" s="50">
        <f t="shared" si="49"/>
        <v>22.75</v>
      </c>
      <c r="Z95" s="158">
        <f t="shared" si="50"/>
        <v>1.1146496815286623E-2</v>
      </c>
      <c r="AA95" s="194">
        <f t="shared" si="51"/>
        <v>0.10833333333333334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5</v>
      </c>
      <c r="H96" s="163"/>
      <c r="I96" s="164"/>
      <c r="J96" s="154">
        <f t="shared" si="53"/>
        <v>0</v>
      </c>
      <c r="K96" s="178"/>
      <c r="L96" s="151">
        <f t="shared" si="54"/>
        <v>2</v>
      </c>
      <c r="M96" s="163">
        <v>1</v>
      </c>
      <c r="N96" s="164">
        <v>9.6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9.2500000000000036</v>
      </c>
      <c r="V96" s="156">
        <f t="shared" si="47"/>
        <v>37.000000000000014</v>
      </c>
      <c r="W96" s="192">
        <f t="shared" si="48"/>
        <v>39.64285714285716</v>
      </c>
      <c r="X96" s="193">
        <f t="shared" si="58"/>
        <v>840</v>
      </c>
      <c r="Y96" s="50">
        <f t="shared" si="49"/>
        <v>9.2500000000000036</v>
      </c>
      <c r="Z96" s="158">
        <f t="shared" si="50"/>
        <v>4.5320921117099474E-3</v>
      </c>
      <c r="AA96" s="194">
        <f t="shared" si="51"/>
        <v>4.7193877551020426E-2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5</v>
      </c>
      <c r="H97" s="163"/>
      <c r="I97" s="164"/>
      <c r="J97" s="154">
        <f t="shared" si="53"/>
        <v>0</v>
      </c>
      <c r="K97" s="178"/>
      <c r="L97" s="151">
        <f t="shared" si="54"/>
        <v>2</v>
      </c>
      <c r="M97" s="163">
        <v>2</v>
      </c>
      <c r="N97" s="164">
        <v>1.3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>(((+M97+(N97/16))-O97)-((+M96+(N96/16))-O96))*20</f>
        <v>9.6249999999999947</v>
      </c>
      <c r="V97" s="156">
        <f t="shared" si="47"/>
        <v>38.499999999999979</v>
      </c>
      <c r="W97" s="192">
        <f t="shared" si="48"/>
        <v>41.249999999999979</v>
      </c>
      <c r="X97" s="193">
        <f t="shared" si="58"/>
        <v>840</v>
      </c>
      <c r="Y97" s="50">
        <f t="shared" si="49"/>
        <v>9.6249999999999947</v>
      </c>
      <c r="Z97" s="158">
        <f t="shared" si="50"/>
        <v>4.7158255756981843E-3</v>
      </c>
      <c r="AA97" s="194">
        <f t="shared" si="51"/>
        <v>4.9107142857142828E-2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5</v>
      </c>
      <c r="H98" s="163"/>
      <c r="I98" s="164"/>
      <c r="J98" s="154">
        <f t="shared" si="53"/>
        <v>0</v>
      </c>
      <c r="K98" s="178"/>
      <c r="L98" s="151">
        <f t="shared" si="54"/>
        <v>2</v>
      </c>
      <c r="M98" s="163">
        <v>2</v>
      </c>
      <c r="N98" s="164">
        <v>10.4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>(((+M98+(N98/16))-O98)-((+M97+(N97/16))-O97))*20</f>
        <v>11.375000000000002</v>
      </c>
      <c r="V98" s="156">
        <f t="shared" si="47"/>
        <v>45.500000000000007</v>
      </c>
      <c r="W98" s="192">
        <f t="shared" si="48"/>
        <v>48.750000000000007</v>
      </c>
      <c r="X98" s="193">
        <f t="shared" si="58"/>
        <v>840</v>
      </c>
      <c r="Y98" s="50">
        <f t="shared" si="49"/>
        <v>11.375000000000002</v>
      </c>
      <c r="Z98" s="158">
        <f t="shared" si="50"/>
        <v>5.5732484076433126E-3</v>
      </c>
      <c r="AA98" s="194">
        <f t="shared" si="51"/>
        <v>5.8035714285714295E-2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5</v>
      </c>
      <c r="H99" s="163"/>
      <c r="I99" s="164"/>
      <c r="J99" s="154">
        <f t="shared" si="53"/>
        <v>0</v>
      </c>
      <c r="K99" s="178"/>
      <c r="L99" s="151">
        <f t="shared" si="54"/>
        <v>2</v>
      </c>
      <c r="M99" s="163">
        <v>3</v>
      </c>
      <c r="N99" s="164">
        <v>5.0999999999999996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>(((+M99+(N99/16))-O99)-((+M98+(N98/16))-O98))*20</f>
        <v>13.375000000000004</v>
      </c>
      <c r="V99" s="156">
        <f t="shared" si="47"/>
        <v>53.500000000000014</v>
      </c>
      <c r="W99" s="192">
        <f t="shared" si="48"/>
        <v>57.321428571428591</v>
      </c>
      <c r="X99" s="193">
        <f t="shared" si="58"/>
        <v>840</v>
      </c>
      <c r="Y99" s="50">
        <f t="shared" si="49"/>
        <v>13.375000000000004</v>
      </c>
      <c r="Z99" s="158">
        <f t="shared" si="50"/>
        <v>6.5531602155805991E-3</v>
      </c>
      <c r="AA99" s="194">
        <f t="shared" si="51"/>
        <v>6.823979591836736E-2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5</v>
      </c>
      <c r="H100" s="163"/>
      <c r="I100" s="164"/>
      <c r="J100" s="154">
        <f t="shared" si="53"/>
        <v>0</v>
      </c>
      <c r="K100" s="178"/>
      <c r="L100" s="151">
        <f t="shared" si="54"/>
        <v>2</v>
      </c>
      <c r="M100" s="163">
        <v>4</v>
      </c>
      <c r="N100" s="164">
        <v>3.7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>(((+M100+(N100/16))-O100)-((+M99+(N99/16))-O99))*20</f>
        <v>18.25</v>
      </c>
      <c r="V100" s="156">
        <f t="shared" si="47"/>
        <v>73</v>
      </c>
      <c r="W100" s="192">
        <f t="shared" si="48"/>
        <v>78.214285714285708</v>
      </c>
      <c r="X100" s="193">
        <f t="shared" si="58"/>
        <v>840</v>
      </c>
      <c r="Y100" s="50">
        <f t="shared" si="49"/>
        <v>18.25</v>
      </c>
      <c r="Z100" s="158">
        <f t="shared" si="50"/>
        <v>8.9416952474277323E-3</v>
      </c>
      <c r="AA100" s="194">
        <f t="shared" si="51"/>
        <v>9.311224489795919E-2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5</v>
      </c>
      <c r="H101" s="173"/>
      <c r="I101" s="203"/>
      <c r="J101" s="154">
        <f t="shared" si="53"/>
        <v>0</v>
      </c>
      <c r="K101" s="178"/>
      <c r="L101" s="151">
        <f t="shared" si="54"/>
        <v>2</v>
      </c>
      <c r="M101" s="173">
        <v>4</v>
      </c>
      <c r="N101" s="203">
        <v>11.3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>(((+M101+(N101/16))-O101)-((+M100+(N100/16))-O100))*20</f>
        <v>9.4999999999999929</v>
      </c>
      <c r="V101" s="156">
        <f t="shared" si="47"/>
        <v>37.999999999999972</v>
      </c>
      <c r="W101" s="192">
        <f t="shared" si="48"/>
        <v>40.71428571428568</v>
      </c>
      <c r="X101" s="193">
        <f t="shared" si="58"/>
        <v>840</v>
      </c>
      <c r="Y101" s="50">
        <f t="shared" si="49"/>
        <v>9.4999999999999929</v>
      </c>
      <c r="Z101" s="158">
        <f t="shared" si="50"/>
        <v>4.654581087702103E-3</v>
      </c>
      <c r="AA101" s="194">
        <f t="shared" si="51"/>
        <v>4.8469387755102004E-2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22642.25</v>
      </c>
      <c r="X102" s="64"/>
      <c r="Y102" s="211">
        <f>SUM(Y70:Y101)</f>
        <v>795.25</v>
      </c>
      <c r="Z102" s="212">
        <f>SUM(Y88:Y101)/TOTAL_MEASUED_INCOME</f>
        <v>0.14631308182263597</v>
      </c>
      <c r="AA102" s="123"/>
      <c r="AB102" s="12" t="s">
        <v>247</v>
      </c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40942</v>
      </c>
      <c r="R104" s="217"/>
      <c r="S104" s="19"/>
      <c r="T104" s="132" t="s">
        <v>195</v>
      </c>
      <c r="U104" s="216">
        <f>+D30</f>
        <v>40944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2223.478096618413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293.375</v>
      </c>
      <c r="R106" s="222"/>
      <c r="T106" s="30" t="s">
        <v>199</v>
      </c>
      <c r="U106" s="226">
        <f>SUM(U33:U63)</f>
        <v>952.375</v>
      </c>
      <c r="V106" s="227"/>
      <c r="W106" s="45"/>
      <c r="X106" s="30" t="s">
        <v>199</v>
      </c>
      <c r="Y106" s="71">
        <f>+U106+Q106</f>
        <v>1245.75</v>
      </c>
      <c r="Z106" s="228">
        <f>+Y106/Y113</f>
        <v>0.61036256736893679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4721.1945224292067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795.25</v>
      </c>
      <c r="V107" s="231"/>
      <c r="W107" s="45"/>
      <c r="X107" s="64" t="s">
        <v>201</v>
      </c>
      <c r="Y107" s="66">
        <f>+U107+Q107</f>
        <v>795.25</v>
      </c>
      <c r="Z107" s="232">
        <f>+Y107/Y113</f>
        <v>0.38963743263106321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2041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293.375</v>
      </c>
      <c r="R108" s="222"/>
      <c r="U108" s="235">
        <f>SUM(U106:U107)</f>
        <v>1747.625</v>
      </c>
      <c r="V108" s="227"/>
      <c r="W108" s="198"/>
      <c r="X108" s="193"/>
      <c r="Y108" s="236">
        <f>SUM(Y106:Y107)</f>
        <v>2041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2058.5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0.38963743263106321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0.25071266450899932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39" t="s">
        <v>248</v>
      </c>
      <c r="Q113" s="241"/>
      <c r="R113" s="222"/>
      <c r="S113" s="23" t="s">
        <v>249</v>
      </c>
      <c r="U113" s="241"/>
      <c r="V113" s="222"/>
      <c r="X113" s="249" t="s">
        <v>239</v>
      </c>
      <c r="Y113" s="180">
        <f>+Y108+Y111</f>
        <v>2041</v>
      </c>
      <c r="AA113" s="238"/>
      <c r="AD113" s="28"/>
    </row>
    <row r="114" spans="1:35" s="12" customFormat="1" ht="13.5" thickBot="1" x14ac:dyDescent="0.25">
      <c r="A114" s="30"/>
      <c r="E114" s="48"/>
      <c r="M114" s="250"/>
      <c r="N114" s="30" t="s">
        <v>212</v>
      </c>
      <c r="O114" s="224">
        <v>0</v>
      </c>
      <c r="Q114" s="98">
        <f>+O114*1</f>
        <v>0</v>
      </c>
      <c r="S114" s="30">
        <f>+V114-O114</f>
        <v>281</v>
      </c>
      <c r="U114" s="98">
        <f>+S114*1</f>
        <v>281</v>
      </c>
      <c r="V114" s="251">
        <v>281</v>
      </c>
      <c r="W114" s="252">
        <f>+V114*1</f>
        <v>281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92</v>
      </c>
      <c r="U115" s="98">
        <f>+S115*5</f>
        <v>460</v>
      </c>
      <c r="V115" s="251">
        <v>92</v>
      </c>
      <c r="W115" s="252">
        <f>+V115*5</f>
        <v>460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30</v>
      </c>
      <c r="U116" s="98">
        <f>+S116*10</f>
        <v>300</v>
      </c>
      <c r="V116" s="251">
        <v>30</v>
      </c>
      <c r="W116" s="252">
        <f>+V116*10</f>
        <v>300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18</v>
      </c>
      <c r="F117" s="225">
        <f>+Y117</f>
        <v>14</v>
      </c>
      <c r="G117" s="257">
        <f>((+E117+(F117/16)))*20</f>
        <v>377.5</v>
      </c>
      <c r="H117" s="45"/>
      <c r="J117" s="220"/>
      <c r="M117" s="29"/>
      <c r="N117" s="64" t="s">
        <v>216</v>
      </c>
      <c r="O117" s="361">
        <v>0</v>
      </c>
      <c r="P117" s="61"/>
      <c r="Q117" s="259">
        <f>+O117*20</f>
        <v>0</v>
      </c>
      <c r="R117" s="222"/>
      <c r="S117" s="64">
        <f>+V117-O117</f>
        <v>30</v>
      </c>
      <c r="T117" s="61"/>
      <c r="U117" s="259">
        <f>+S117*20</f>
        <v>600</v>
      </c>
      <c r="V117" s="251">
        <v>30</v>
      </c>
      <c r="W117" s="260">
        <f>+V117*20</f>
        <v>600</v>
      </c>
      <c r="X117" s="224">
        <v>20</v>
      </c>
      <c r="Y117" s="225">
        <v>14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377.5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1641</v>
      </c>
      <c r="V118" s="222"/>
      <c r="W118" s="45">
        <f>SUM(W114:W117)</f>
        <v>1641</v>
      </c>
      <c r="Y118" s="48">
        <f>((+X117+(Y117/16)))*20</f>
        <v>417.5</v>
      </c>
      <c r="Z118" s="239" t="s">
        <v>217</v>
      </c>
      <c r="AA118" s="253">
        <f>+Y118+Y116</f>
        <v>417.5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1641</v>
      </c>
      <c r="G119" s="37" t="s">
        <v>219</v>
      </c>
      <c r="H119" s="45"/>
      <c r="J119" s="220"/>
      <c r="M119" s="29"/>
      <c r="N119" s="30"/>
      <c r="O119" s="362"/>
      <c r="Q119" s="363" t="s">
        <v>210</v>
      </c>
      <c r="R119" s="222"/>
      <c r="S119" s="256"/>
      <c r="U119" s="98"/>
      <c r="V119" s="264"/>
      <c r="W119" s="252"/>
      <c r="Y119" s="205">
        <f>SUM(W114:W117)</f>
        <v>1641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2018.5</v>
      </c>
      <c r="G120" s="240" t="s">
        <v>213</v>
      </c>
      <c r="H120" s="51"/>
      <c r="I120" s="51"/>
      <c r="J120" s="266"/>
      <c r="M120" s="364">
        <f>(+Q120+Q121)/2</f>
        <v>3307</v>
      </c>
      <c r="P120" s="30" t="s">
        <v>221</v>
      </c>
      <c r="Q120" s="365">
        <v>4834</v>
      </c>
      <c r="R120" s="222"/>
      <c r="S120" s="30" t="s">
        <v>221</v>
      </c>
      <c r="T120" s="28" t="s">
        <v>222</v>
      </c>
      <c r="U120" s="267">
        <f>+U118*2</f>
        <v>3282</v>
      </c>
      <c r="V120" s="268"/>
      <c r="W120" s="255">
        <f>+W118*2</f>
        <v>3282</v>
      </c>
      <c r="Y120" s="269">
        <f>SUM(Y118:Y119)</f>
        <v>2058.5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/>
      <c r="O121" s="362"/>
      <c r="P121" s="137"/>
      <c r="Q121" s="366">
        <v>1780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67">
        <f>+U120-M120</f>
        <v>-25</v>
      </c>
      <c r="N122" s="368">
        <f>+M122/2</f>
        <v>-12.5</v>
      </c>
      <c r="O122" s="61"/>
      <c r="P122" s="61"/>
      <c r="Q122" s="369"/>
      <c r="R122" s="286"/>
      <c r="S122" s="61"/>
      <c r="T122" s="205"/>
      <c r="U122" s="370">
        <f>+U120/2</f>
        <v>1641</v>
      </c>
      <c r="V122" s="230"/>
      <c r="W122" s="287" t="s">
        <v>226</v>
      </c>
      <c r="X122" s="288"/>
      <c r="Y122" s="289">
        <f>-(+Y113-Y120)</f>
        <v>17.5</v>
      </c>
      <c r="Z122" s="289"/>
      <c r="AA122" s="290"/>
      <c r="AB122" s="139">
        <f>+W118</f>
        <v>1641</v>
      </c>
      <c r="AC122" s="23">
        <v>1101</v>
      </c>
      <c r="AD122" s="175">
        <f>-300+AB122</f>
        <v>1341</v>
      </c>
      <c r="AF122" s="45">
        <f>+AC122-AD122</f>
        <v>-240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11</v>
      </c>
      <c r="M126" s="153">
        <v>3.3</v>
      </c>
      <c r="N126" s="12"/>
      <c r="O126" s="155">
        <f>((+L126+(M126/16))-J126)*20</f>
        <v>224.125</v>
      </c>
      <c r="P126" s="12"/>
      <c r="Q126" s="12"/>
      <c r="R126" s="304">
        <v>9</v>
      </c>
      <c r="S126" s="153">
        <v>12.9</v>
      </c>
      <c r="T126" s="154"/>
      <c r="U126" s="155">
        <f t="shared" ref="U126:U131" si="59">((+R126+(S126/16))-T126)*20</f>
        <v>196.125</v>
      </c>
      <c r="V126" s="45">
        <f>+U126-O126</f>
        <v>-28</v>
      </c>
      <c r="W126" s="30">
        <f t="shared" ref="W126:W131" si="60">+V126/20</f>
        <v>-1.4</v>
      </c>
      <c r="X126" s="110">
        <f t="shared" ref="X126:X131" si="61">CEILING(+W126,1)</f>
        <v>-1</v>
      </c>
      <c r="Y126" s="371">
        <f t="shared" ref="Y126:Y131" si="62">+W126+1-X126</f>
        <v>0.60000000000000009</v>
      </c>
      <c r="Z126" s="334">
        <f t="shared" ref="Z126:Z131" si="63">CEILING(+W126,1)-1</f>
        <v>-2</v>
      </c>
      <c r="AA126" s="333">
        <f t="shared" ref="AA126:AA131" si="64">+Y126/0.0625</f>
        <v>9.6000000000000014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-60.500000000000007</v>
      </c>
      <c r="P127" s="12"/>
      <c r="Q127" s="12"/>
      <c r="R127" s="307">
        <v>1</v>
      </c>
      <c r="S127" s="153">
        <v>5.4</v>
      </c>
      <c r="T127" s="154"/>
      <c r="U127" s="155">
        <f t="shared" si="59"/>
        <v>26.75</v>
      </c>
      <c r="V127" s="45">
        <f>+U127+O127</f>
        <v>-33.750000000000007</v>
      </c>
      <c r="W127" s="30">
        <f t="shared" si="60"/>
        <v>-1.6875000000000004</v>
      </c>
      <c r="X127" s="110">
        <f t="shared" si="61"/>
        <v>-1</v>
      </c>
      <c r="Y127" s="31">
        <f t="shared" si="62"/>
        <v>0.31249999999999956</v>
      </c>
      <c r="Z127" s="334">
        <f t="shared" si="63"/>
        <v>-2</v>
      </c>
      <c r="AA127" s="333">
        <f t="shared" si="64"/>
        <v>4.9999999999999929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9"/>
        <v>45.375</v>
      </c>
      <c r="V128" s="45">
        <f>+U128+O128</f>
        <v>158.5</v>
      </c>
      <c r="W128" s="30">
        <f t="shared" si="60"/>
        <v>7.9249999999999998</v>
      </c>
      <c r="X128" s="110">
        <f t="shared" si="61"/>
        <v>8</v>
      </c>
      <c r="Y128" s="31">
        <f t="shared" si="62"/>
        <v>0.92500000000000071</v>
      </c>
      <c r="Z128" s="334">
        <f t="shared" si="63"/>
        <v>7</v>
      </c>
      <c r="AA128" s="333">
        <f t="shared" si="64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9"/>
        <v>14.625</v>
      </c>
      <c r="V129" s="45">
        <f>+U129+O129</f>
        <v>64</v>
      </c>
      <c r="W129" s="30">
        <f t="shared" si="60"/>
        <v>3.2</v>
      </c>
      <c r="X129" s="110">
        <f t="shared" si="61"/>
        <v>4</v>
      </c>
      <c r="Y129" s="31">
        <f t="shared" si="62"/>
        <v>0.20000000000000018</v>
      </c>
      <c r="Z129" s="334">
        <f t="shared" si="63"/>
        <v>3</v>
      </c>
      <c r="AA129" s="333">
        <f t="shared" si="64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9"/>
        <v>0</v>
      </c>
      <c r="V130" s="45">
        <f>+U130+O130</f>
        <v>51.875</v>
      </c>
      <c r="W130" s="30">
        <f t="shared" si="60"/>
        <v>2.59375</v>
      </c>
      <c r="X130" s="110">
        <f t="shared" si="61"/>
        <v>3</v>
      </c>
      <c r="Y130" s="31">
        <f t="shared" si="62"/>
        <v>0.59375</v>
      </c>
      <c r="Z130" s="334">
        <f t="shared" si="63"/>
        <v>2</v>
      </c>
      <c r="AA130" s="333">
        <f t="shared" si="64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9"/>
        <v>0</v>
      </c>
      <c r="V131" s="45">
        <f>+U131+O131</f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5" priority="1" stopIfTrue="1">
      <formula>ABS(+FIXED(R33,0)-R33)&gt;0.15</formula>
    </cfRule>
  </conditionalFormatting>
  <conditionalFormatting sqref="AA33:AA37 AA39:AA44 AA59:AA63">
    <cfRule type="cellIs" dxfId="4" priority="2" stopIfTrue="1" operator="greaterThan">
      <formula>3</formula>
    </cfRule>
  </conditionalFormatting>
  <conditionalFormatting sqref="AA46:AA57">
    <cfRule type="cellIs" dxfId="3" priority="3" stopIfTrue="1" operator="greaterThanOrEqual">
      <formula>5</formula>
    </cfRule>
  </conditionalFormatting>
  <conditionalFormatting sqref="AA70:AA79">
    <cfRule type="cellIs" dxfId="2" priority="4" stopIfTrue="1" operator="greaterThanOrEqual">
      <formula>0.2</formula>
    </cfRule>
  </conditionalFormatting>
  <conditionalFormatting sqref="AA88:AA101">
    <cfRule type="cellIs" dxfId="1" priority="5" stopIfTrue="1" operator="greaterThanOrEqual">
      <formula>0.15</formula>
    </cfRule>
  </conditionalFormatting>
  <conditionalFormatting sqref="AA81:AA86">
    <cfRule type="cellIs" dxfId="0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zoomScaleNormal="75" workbookViewId="0">
      <selection activeCell="H33" sqref="H33:H3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hidden="1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27" x14ac:dyDescent="0.2">
      <c r="A1" s="1">
        <f>+B1</f>
        <v>40651</v>
      </c>
      <c r="B1" s="351">
        <f>+B2-6</f>
        <v>40651</v>
      </c>
      <c r="C1" s="3" t="s">
        <v>0</v>
      </c>
      <c r="L1" s="6"/>
    </row>
    <row r="2" spans="1:27" ht="13.5" x14ac:dyDescent="0.25">
      <c r="A2" s="1">
        <f>+B2</f>
        <v>40657</v>
      </c>
      <c r="B2" s="2">
        <v>40657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40655</v>
      </c>
      <c r="B3" s="2">
        <v>40655</v>
      </c>
      <c r="C3" s="4" t="s">
        <v>2</v>
      </c>
    </row>
    <row r="4" spans="1:27" ht="2.25" customHeight="1" thickBot="1" x14ac:dyDescent="0.25">
      <c r="B4" s="350">
        <v>40523</v>
      </c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40657</v>
      </c>
      <c r="C7" s="34"/>
      <c r="E7" s="33">
        <f>+B1</f>
        <v>40651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349"/>
      <c r="X7" s="30" t="s">
        <v>24</v>
      </c>
      <c r="Y7" s="35">
        <f>+Y120</f>
        <v>1793.25</v>
      </c>
      <c r="Z7" s="31"/>
      <c r="AA7" s="36">
        <f>+Y113</f>
        <v>1863.25</v>
      </c>
    </row>
    <row r="8" spans="1:27" ht="13.5" x14ac:dyDescent="0.25">
      <c r="A8" s="37" t="s">
        <v>25</v>
      </c>
      <c r="B8" s="38">
        <v>23367.78</v>
      </c>
      <c r="C8" s="39">
        <f>+B7</f>
        <v>40657</v>
      </c>
      <c r="D8" s="15">
        <f>+U8/U14</f>
        <v>0.58726957298331683</v>
      </c>
      <c r="E8" s="38">
        <v>23138.93</v>
      </c>
      <c r="F8" s="39">
        <f>+E7</f>
        <v>40651</v>
      </c>
      <c r="G8" s="40">
        <f>+B8-E8</f>
        <v>228.84999999999854</v>
      </c>
      <c r="H8" s="41"/>
      <c r="I8" s="42">
        <f>+C8-F8+1</f>
        <v>7</v>
      </c>
      <c r="J8" s="9">
        <f>+G8/I8</f>
        <v>32.692857142856937</v>
      </c>
      <c r="L8" s="10">
        <f>+(((((((+N8*+Q8)*+M8)+8)*0.02)+(((+N8*+Q8)*+M8)+8))*0.0147)+(((((+N8*+Q8)*+M8)+8)*0.02))+8)</f>
        <v>44.967149131280856</v>
      </c>
      <c r="M8" s="11">
        <f>+O27</f>
        <v>1.00987</v>
      </c>
      <c r="N8" s="12">
        <f>+J8*30.416</f>
        <v>994.38594285713657</v>
      </c>
      <c r="O8" s="13">
        <f>+((N8*+Q8)*M8)+L8</f>
        <v>1093.3525046573955</v>
      </c>
      <c r="P8" s="12"/>
      <c r="Q8" s="11">
        <v>1.044</v>
      </c>
      <c r="R8" s="43">
        <f>+N8*Q8</f>
        <v>1038.1389243428507</v>
      </c>
      <c r="S8" s="29" t="s">
        <v>26</v>
      </c>
      <c r="T8" s="12"/>
      <c r="U8" s="44">
        <f>+O8</f>
        <v>1093.3525046573955</v>
      </c>
      <c r="V8" s="346"/>
      <c r="W8" s="347">
        <f>((+G8*Q8)*M8)+(L8/4.33)</f>
        <v>251.66255737205873</v>
      </c>
      <c r="X8" s="30"/>
      <c r="Y8" s="46">
        <f>+Y120*4.3333</f>
        <v>7770.6902250000003</v>
      </c>
      <c r="Z8" s="46"/>
      <c r="AA8" s="47">
        <f>+Y113*4.3333</f>
        <v>8074.0212250000004</v>
      </c>
    </row>
    <row r="9" spans="1:27" ht="13.5" x14ac:dyDescent="0.25">
      <c r="A9" s="37" t="s">
        <v>27</v>
      </c>
      <c r="B9" s="38">
        <v>31064</v>
      </c>
      <c r="C9" s="39">
        <f>+C10</f>
        <v>40657</v>
      </c>
      <c r="D9" s="15">
        <f>(+U9+U10+U13)/U14</f>
        <v>0.10914264586282593</v>
      </c>
      <c r="E9" s="348">
        <f>+'[1]WE 04-17-11'!B9</f>
        <v>30000</v>
      </c>
      <c r="F9" s="39">
        <f>+F10</f>
        <v>40651</v>
      </c>
      <c r="G9" s="40">
        <f>+B9-E9</f>
        <v>1064</v>
      </c>
      <c r="I9" s="42">
        <f>+C9-F9+1</f>
        <v>7</v>
      </c>
      <c r="J9" s="9">
        <f>+G9/I9</f>
        <v>152</v>
      </c>
      <c r="L9" s="10">
        <f>5+22.7</f>
        <v>27.7</v>
      </c>
      <c r="M9" s="11">
        <v>5.4100000000000002E-2</v>
      </c>
      <c r="N9" s="12">
        <f>+J9*30.416</f>
        <v>4623.232</v>
      </c>
      <c r="O9" s="13">
        <f>+L9+N9*M9</f>
        <v>277.81685120000003</v>
      </c>
      <c r="P9" s="12"/>
      <c r="Q9" s="4" t="s">
        <v>28</v>
      </c>
      <c r="S9" s="29" t="s">
        <v>29</v>
      </c>
      <c r="T9" s="12"/>
      <c r="U9" s="44">
        <f>+O9</f>
        <v>277.81685120000003</v>
      </c>
      <c r="V9" s="346"/>
      <c r="W9" s="347">
        <f>((+G9*M9))+(L9/4.33)</f>
        <v>63.959628637413402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84007</v>
      </c>
      <c r="C10" s="39">
        <f>+C11</f>
        <v>40657</v>
      </c>
      <c r="D10" s="15"/>
      <c r="E10" s="38">
        <v>83524</v>
      </c>
      <c r="F10" s="39">
        <f>+F11</f>
        <v>40651</v>
      </c>
      <c r="G10" s="40">
        <f>+B10-E10</f>
        <v>483</v>
      </c>
      <c r="I10" s="42">
        <f>+C10-F10+1</f>
        <v>7</v>
      </c>
      <c r="J10" s="9">
        <f>+G10/I10</f>
        <v>69</v>
      </c>
      <c r="L10" s="10">
        <v>22.7</v>
      </c>
      <c r="M10" s="4">
        <f>+M9</f>
        <v>5.4100000000000002E-2</v>
      </c>
      <c r="N10" s="12">
        <f>+J10*30.416</f>
        <v>2098.7040000000002</v>
      </c>
      <c r="O10" s="13">
        <f>+L10+N10*M10</f>
        <v>136.23988640000002</v>
      </c>
      <c r="P10" s="12"/>
      <c r="Q10" s="4" t="s">
        <v>31</v>
      </c>
      <c r="S10" s="29" t="s">
        <v>32</v>
      </c>
      <c r="T10" s="12"/>
      <c r="U10" s="49">
        <f>+O10</f>
        <v>136.23988640000002</v>
      </c>
      <c r="V10" s="346"/>
      <c r="W10" s="347">
        <f>((+G10*M10))+(L10/4.33)</f>
        <v>31.372794226327947</v>
      </c>
      <c r="X10" s="30" t="s">
        <v>33</v>
      </c>
      <c r="Y10" s="50">
        <f>-U14</f>
        <v>-1861.7557506056173</v>
      </c>
      <c r="Z10" s="50"/>
      <c r="AA10" s="32"/>
    </row>
    <row r="11" spans="1:27" ht="13.5" x14ac:dyDescent="0.25">
      <c r="A11" s="37" t="s">
        <v>34</v>
      </c>
      <c r="B11" s="38">
        <v>8145.5200299999997</v>
      </c>
      <c r="C11" s="39">
        <f>+C8</f>
        <v>40657</v>
      </c>
      <c r="D11" s="15">
        <f>+U11/U14</f>
        <v>0.30358778115385709</v>
      </c>
      <c r="E11" s="38">
        <v>8114.6806200000001</v>
      </c>
      <c r="F11" s="39">
        <f>+F8</f>
        <v>40651</v>
      </c>
      <c r="G11" s="51">
        <f>+B11-E11</f>
        <v>30.839409999999589</v>
      </c>
      <c r="H11" s="4" t="s">
        <v>35</v>
      </c>
      <c r="I11" s="42">
        <f>+C11-F11+1</f>
        <v>7</v>
      </c>
      <c r="J11" s="9">
        <f>(+G11/I11)*10</f>
        <v>44.05629999999941</v>
      </c>
      <c r="L11" s="10">
        <v>20.53</v>
      </c>
      <c r="M11" s="4">
        <v>0.183</v>
      </c>
      <c r="N11" s="52">
        <f>+J11*30.416</f>
        <v>1340.0164207999821</v>
      </c>
      <c r="O11" s="13">
        <f>+L11+N11*M11</f>
        <v>265.75300500639673</v>
      </c>
      <c r="P11" s="12"/>
      <c r="Q11" s="4" t="s">
        <v>241</v>
      </c>
      <c r="S11" s="29" t="s">
        <v>37</v>
      </c>
      <c r="T11" s="12"/>
      <c r="U11" s="49">
        <f>+O12+O11+5</f>
        <v>565.20629737679315</v>
      </c>
      <c r="V11" s="346"/>
      <c r="W11" s="347">
        <f>((+G11*M11))+(L11/4.33)</f>
        <v>10.384951521916783</v>
      </c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25.78</v>
      </c>
      <c r="M12" s="4">
        <v>0.20050000000000001</v>
      </c>
      <c r="N12" s="54">
        <f>+N11</f>
        <v>1340.0164207999821</v>
      </c>
      <c r="O12" s="13">
        <f>+L12+N12*M12</f>
        <v>294.45329237039641</v>
      </c>
      <c r="P12" s="12"/>
      <c r="Q12" s="4" t="s">
        <v>241</v>
      </c>
      <c r="S12" s="29" t="s">
        <v>41</v>
      </c>
      <c r="T12" s="12"/>
      <c r="U12" s="44">
        <f>+U11+U10</f>
        <v>701.44618377679319</v>
      </c>
      <c r="V12" s="346"/>
      <c r="W12" s="347">
        <f>((+G12*M12))+(L12/4.33)</f>
        <v>5.9538106235565822</v>
      </c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178049</v>
      </c>
      <c r="C13" s="34">
        <f>+B7</f>
        <v>40657</v>
      </c>
      <c r="E13" s="55">
        <v>177152</v>
      </c>
      <c r="F13" s="34">
        <f>+E7</f>
        <v>40651</v>
      </c>
      <c r="G13" s="40">
        <f>+B13-E13</f>
        <v>897</v>
      </c>
      <c r="I13" s="42">
        <f>+C13-F13+1</f>
        <v>7</v>
      </c>
      <c r="J13" s="9">
        <f>(+G13/I13)</f>
        <v>128.14285714285714</v>
      </c>
      <c r="L13" s="56">
        <v>0</v>
      </c>
      <c r="M13" s="4">
        <f>+M10</f>
        <v>5.4100000000000002E-2</v>
      </c>
      <c r="N13" s="12">
        <f>+J13*30.416</f>
        <v>3897.593142857143</v>
      </c>
      <c r="O13" s="13">
        <f>-(N13*M13)+L13</f>
        <v>-210.85978902857144</v>
      </c>
      <c r="P13" s="12"/>
      <c r="S13" s="29" t="s">
        <v>44</v>
      </c>
      <c r="T13" s="12"/>
      <c r="U13" s="57">
        <f>+O13</f>
        <v>-210.85978902857144</v>
      </c>
      <c r="V13" s="346"/>
      <c r="W13" s="345">
        <f>-((+G13*M13))+(L13/4.33)</f>
        <v>-48.527700000000003</v>
      </c>
      <c r="X13" s="30" t="s">
        <v>45</v>
      </c>
      <c r="Y13" s="58">
        <v>-1500</v>
      </c>
      <c r="Z13" s="31"/>
      <c r="AA13" s="32"/>
    </row>
    <row r="14" spans="1:27" ht="14.25" thickBot="1" x14ac:dyDescent="0.3">
      <c r="A14" s="37"/>
      <c r="B14" s="59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1861.7557506056173</v>
      </c>
      <c r="V14" s="63">
        <f>((+U14/Y8))</f>
        <v>0.23958692171461735</v>
      </c>
      <c r="W14" s="344">
        <f>SUM(W8:W13)</f>
        <v>314.80604238127341</v>
      </c>
      <c r="X14" s="343">
        <f>+W14/AA7</f>
        <v>0.16895534275125368</v>
      </c>
      <c r="Y14" s="65">
        <f>SUM(Y8:Y13)</f>
        <v>2028.934474394383</v>
      </c>
      <c r="Z14" s="66"/>
      <c r="AA14" s="67">
        <f>+U14/AA8</f>
        <v>0.23058593713389913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627.92410714285711</v>
      </c>
      <c r="E18" s="78">
        <f>(+U26/4.333)/D18</f>
        <v>0.39377373623322465</v>
      </c>
      <c r="F18" s="79"/>
      <c r="G18" s="12" t="s">
        <v>68</v>
      </c>
      <c r="H18" s="80">
        <f>SUM(H19:H21)</f>
        <v>1</v>
      </c>
      <c r="I18" s="81">
        <f>+Z106</f>
        <v>0.60304575338789745</v>
      </c>
      <c r="J18" s="82">
        <f>+M18/M27</f>
        <v>0.60500096320747077</v>
      </c>
      <c r="L18" s="83">
        <f>+Y106</f>
        <v>1123.625</v>
      </c>
      <c r="M18" s="84">
        <f>SUM(M19:M21)</f>
        <v>876.36497825944548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0.56296612278269531</v>
      </c>
      <c r="C19" s="4">
        <v>12</v>
      </c>
      <c r="D19" s="88">
        <f>SUM(R46:R57)+SUM(V46:V57)</f>
        <v>353.5</v>
      </c>
      <c r="E19" s="89">
        <f>+F19/SUM(F19:F21)</f>
        <v>0.56296612278269531</v>
      </c>
      <c r="F19" s="90">
        <f>+D19*E18</f>
        <v>139.19901575844492</v>
      </c>
      <c r="G19" s="12" t="s">
        <v>70</v>
      </c>
      <c r="H19" s="91">
        <f>+L19/L18</f>
        <v>0.3146067415730337</v>
      </c>
      <c r="I19" s="92">
        <f>+L19/(+L18+L23)</f>
        <v>0.18972225949282168</v>
      </c>
      <c r="J19" s="93">
        <f>+M19/M27</f>
        <v>0.14794327146659053</v>
      </c>
      <c r="L19" s="74">
        <f>SUM(Y46:Y57)</f>
        <v>353.5</v>
      </c>
      <c r="M19" s="94">
        <f>+L19-F19</f>
        <v>214.30098424155508</v>
      </c>
      <c r="N19" s="4">
        <v>0.25</v>
      </c>
      <c r="O19" s="56">
        <f>+D19*N19</f>
        <v>88.375</v>
      </c>
      <c r="Q19" s="56">
        <f>+O19*4.33333</f>
        <v>382.95803875000001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0.19837901247733816</v>
      </c>
      <c r="C20" s="4">
        <v>5</v>
      </c>
      <c r="D20" s="88">
        <f>SUM(R33:R37)+SUM(V33:V37)</f>
        <v>124.56696428571428</v>
      </c>
      <c r="E20" s="97">
        <f>+F20/SUM(F19:F21)</f>
        <v>0.19837901247733816</v>
      </c>
      <c r="F20" s="98">
        <f>+D20*E18</f>
        <v>49.05119893801637</v>
      </c>
      <c r="G20" s="12"/>
      <c r="H20" s="99">
        <f>+L20/L18</f>
        <v>0.43508732895761487</v>
      </c>
      <c r="I20" s="92">
        <f>+L20/(+L18+L23)</f>
        <v>0.26237756608077284</v>
      </c>
      <c r="J20" s="93">
        <f>+M20/M27</f>
        <v>0.30363356579191686</v>
      </c>
      <c r="L20" s="100">
        <f>SUM(Y33:Y37)</f>
        <v>488.875</v>
      </c>
      <c r="M20" s="94">
        <f>+L20-F20</f>
        <v>439.82380106198366</v>
      </c>
      <c r="N20" s="4">
        <v>0.25</v>
      </c>
      <c r="O20" s="56">
        <f>+D20*N20</f>
        <v>31.141741071428569</v>
      </c>
      <c r="Q20" s="56">
        <f>+O20*4.33333</f>
        <v>134.94744083705356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0.23865486473996661</v>
      </c>
      <c r="C21" s="4">
        <v>11</v>
      </c>
      <c r="D21" s="88">
        <f>SUM(R39:R44)+SUM(V39:V44)+SUM(R59:R63)+SUM(V59:V63)</f>
        <v>149.85714285714286</v>
      </c>
      <c r="E21" s="101">
        <f>+F21/SUM(F19:F21)</f>
        <v>0.23865486473996658</v>
      </c>
      <c r="F21" s="102">
        <f>+D21*E18</f>
        <v>59.009807044093236</v>
      </c>
      <c r="G21" s="12"/>
      <c r="H21" s="99">
        <f>+L21/L18</f>
        <v>0.25030592946935143</v>
      </c>
      <c r="I21" s="92">
        <f>+L21/(+L18+L23)</f>
        <v>0.15094592781430297</v>
      </c>
      <c r="J21" s="93">
        <f>+M21/M27</f>
        <v>0.15342412594896343</v>
      </c>
      <c r="L21" s="74">
        <f>SUM(Y39:Y44,Y59:Y63)</f>
        <v>281.25</v>
      </c>
      <c r="M21" s="94">
        <f>+L21-F21</f>
        <v>222.24019295590676</v>
      </c>
      <c r="N21" s="4">
        <v>0.25</v>
      </c>
      <c r="O21" s="103">
        <f>+D21*N21</f>
        <v>37.464285714285715</v>
      </c>
      <c r="Q21" s="103">
        <f>+O21*4.33333</f>
        <v>162.34511321428573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156.98102678571428</v>
      </c>
      <c r="Q22" s="74">
        <f>SUM(Q19:Q21)</f>
        <v>680.25059280133928</v>
      </c>
      <c r="S22" s="29" t="s">
        <v>79</v>
      </c>
      <c r="T22" s="12"/>
      <c r="U22" s="106">
        <f>+I18</f>
        <v>0.60304575338789745</v>
      </c>
      <c r="V22" s="106">
        <f>+I23</f>
        <v>0.39695424661210249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20709.5</v>
      </c>
      <c r="E23" s="108">
        <f>(+V26/4.333)/D23</f>
        <v>8.0859088965323945E-3</v>
      </c>
      <c r="F23" s="109">
        <f>+E23*G23</f>
        <v>5.6601362275726763E-2</v>
      </c>
      <c r="G23" s="110">
        <v>7</v>
      </c>
      <c r="H23" s="80">
        <f>SUM(H24:H26)</f>
        <v>1</v>
      </c>
      <c r="I23" s="81">
        <f>+Z107</f>
        <v>0.39695424661210249</v>
      </c>
      <c r="J23" s="82">
        <f>+M23/M27</f>
        <v>0.39499903679252923</v>
      </c>
      <c r="L23" s="83">
        <f>Y107</f>
        <v>739.625</v>
      </c>
      <c r="M23" s="84">
        <f>SUM(M24:M26)</f>
        <v>572.16986970726236</v>
      </c>
      <c r="S23" s="29" t="s">
        <v>26</v>
      </c>
      <c r="T23" s="12"/>
      <c r="U23" s="45">
        <f>+U8*U18</f>
        <v>437.34100186295819</v>
      </c>
      <c r="V23" s="45">
        <f>(U8*V18)</f>
        <v>634.14445270128931</v>
      </c>
      <c r="W23" s="45">
        <f>+U8*W18</f>
        <v>21.86705009314791</v>
      </c>
      <c r="X23" s="111">
        <f>SUM(U23:W23)</f>
        <v>1093.3525046573955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0.51867500422511403</v>
      </c>
      <c r="C24" s="4">
        <v>10</v>
      </c>
      <c r="D24" s="112">
        <f>(SUM(R70:R79)*F70)+(SUM(V70:V79)*F70)</f>
        <v>10741.5</v>
      </c>
      <c r="E24" s="113">
        <f>+F24/SUM(F24:F26)</f>
        <v>0.51867500422511403</v>
      </c>
      <c r="F24" s="90">
        <f>+D24*E23</f>
        <v>86.854790412102716</v>
      </c>
      <c r="G24" s="12"/>
      <c r="H24" s="99">
        <f>+L24/L23</f>
        <v>0.51867500422511403</v>
      </c>
      <c r="I24" s="114">
        <f>+L24/(L18+L23)</f>
        <v>0.20589024553870924</v>
      </c>
      <c r="J24" s="93">
        <f>+M24/M27</f>
        <v>0.20487612707728112</v>
      </c>
      <c r="L24" s="56">
        <f>SUM(Y70:Y79)</f>
        <v>383.625</v>
      </c>
      <c r="M24" s="94">
        <f>+L24-F24</f>
        <v>296.77020958789728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542.59804548172144</v>
      </c>
      <c r="V24" s="45">
        <f>((+U11+U12)*V19)</f>
        <v>0</v>
      </c>
      <c r="W24" s="45">
        <f>(+U11)*W19</f>
        <v>22.608251895071728</v>
      </c>
      <c r="X24" s="111">
        <f>SUM(U24:W24)</f>
        <v>565.20629737679315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0.14990704749028225</v>
      </c>
      <c r="C25" s="4">
        <v>6</v>
      </c>
      <c r="D25" s="112">
        <f>(SUM(R81:R86)*F81)+(SUM(V81:V86)*F71)</f>
        <v>3104.5</v>
      </c>
      <c r="E25" s="97">
        <f>+F25/SUM(F24:F26)</f>
        <v>0.14990704749028225</v>
      </c>
      <c r="F25" s="98">
        <f>+D25*E23</f>
        <v>25.10270416928482</v>
      </c>
      <c r="H25" s="99">
        <f>+L25/L23</f>
        <v>0.14990704749028225</v>
      </c>
      <c r="I25" s="114">
        <f>+L25/(+L18+L23)</f>
        <v>5.9506239098349657E-2</v>
      </c>
      <c r="J25" s="93">
        <f>+M25/M27</f>
        <v>5.9213139367073425E-2</v>
      </c>
      <c r="K25" s="12"/>
      <c r="L25" s="56">
        <f>SUM(Y81:Y86)</f>
        <v>110.875</v>
      </c>
      <c r="M25" s="94">
        <f>+L25-F25</f>
        <v>85.77229583071518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91.438626857142864</v>
      </c>
      <c r="V25" s="115">
        <f>(+U9+U10+U13)*V20</f>
        <v>91.438626857142864</v>
      </c>
      <c r="W25" s="115">
        <f>(+U9+U10+U13)*W20</f>
        <v>20.31969485714286</v>
      </c>
      <c r="X25" s="111">
        <f>SUM(U25:W25)</f>
        <v>203.19694857142858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0.33141794828460364</v>
      </c>
      <c r="C26" s="4">
        <v>10</v>
      </c>
      <c r="D26" s="112">
        <f>(SUM(R88:R101)*F88)+(SUM(V88:V101)*F72)</f>
        <v>6863.4999999999991</v>
      </c>
      <c r="E26" s="101">
        <f>+F26/SUM(F24:F26)</f>
        <v>0.33141794828460364</v>
      </c>
      <c r="F26" s="102">
        <f>+D26*E23</f>
        <v>55.497635711350085</v>
      </c>
      <c r="H26" s="99">
        <f>+L26/L23</f>
        <v>0.33141794828460364</v>
      </c>
      <c r="I26" s="114">
        <f>+L26/(+L18+L23)</f>
        <v>0.1315577619750436</v>
      </c>
      <c r="J26" s="93">
        <f>+M26/M27</f>
        <v>0.13090977034817472</v>
      </c>
      <c r="K26" s="116"/>
      <c r="L26" s="103">
        <f>SUM(Y88:Y101)</f>
        <v>245.12499999999997</v>
      </c>
      <c r="M26" s="117">
        <f>+L26-F26</f>
        <v>189.62736428864989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1071.3776742018226</v>
      </c>
      <c r="V26" s="45">
        <f>SUM(V23:V25)</f>
        <v>725.58307955843213</v>
      </c>
      <c r="W26" s="45">
        <f>SUM(W23:W25)</f>
        <v>64.794996845362505</v>
      </c>
      <c r="X26" s="111">
        <f>SUM(U26:W26)</f>
        <v>1861.7557506056171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1863.25</v>
      </c>
      <c r="M27" s="122">
        <f>+M18+M23</f>
        <v>1448.5348479667077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40651</v>
      </c>
      <c r="B30" s="12"/>
      <c r="C30" s="136">
        <f>+B3</f>
        <v>40655</v>
      </c>
      <c r="D30" s="136">
        <f>+B2</f>
        <v>40657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5</v>
      </c>
      <c r="H33" s="152">
        <v>1</v>
      </c>
      <c r="I33" s="153">
        <v>12.8</v>
      </c>
      <c r="J33" s="154">
        <f>+J31</f>
        <v>0</v>
      </c>
      <c r="K33" s="12"/>
      <c r="L33" s="151">
        <f>+F30</f>
        <v>2</v>
      </c>
      <c r="M33" s="152">
        <v>3</v>
      </c>
      <c r="N33" s="153">
        <v>3.2</v>
      </c>
      <c r="O33" s="154">
        <f>+O31</f>
        <v>0</v>
      </c>
      <c r="P33" s="12"/>
      <c r="Q33" s="155">
        <f>((+H33+(I33/16))-J33)*20</f>
        <v>36</v>
      </c>
      <c r="R33" s="156">
        <f>+Q33/E33</f>
        <v>9</v>
      </c>
      <c r="S33" s="157">
        <f>(+R33/C33)/G33</f>
        <v>1.8</v>
      </c>
      <c r="T33" s="12"/>
      <c r="U33" s="155">
        <f>((+M33+(N33/16))-O33)*20</f>
        <v>64</v>
      </c>
      <c r="V33" s="156">
        <f>+U33/E33</f>
        <v>16</v>
      </c>
      <c r="W33" s="157">
        <f>(+V33/C33)/L33</f>
        <v>8</v>
      </c>
      <c r="X33" s="30" t="s">
        <v>127</v>
      </c>
      <c r="Y33" s="50">
        <f>+U33+Q33</f>
        <v>100</v>
      </c>
      <c r="Z33" s="158">
        <f>+Y33/Y113</f>
        <v>5.3669663222863276E-2</v>
      </c>
      <c r="AA33" s="159">
        <f>((+R33+V33)/C33)/(+G33+L33)</f>
        <v>3.5714285714285716</v>
      </c>
      <c r="AD33" s="5">
        <v>50</v>
      </c>
      <c r="AE33" s="160">
        <f>+E33/AD33</f>
        <v>0.08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5</v>
      </c>
      <c r="H34" s="163">
        <v>4</v>
      </c>
      <c r="I34" s="164">
        <v>12.6</v>
      </c>
      <c r="J34" s="154">
        <f>+J33</f>
        <v>0</v>
      </c>
      <c r="K34" s="12"/>
      <c r="L34" s="151">
        <f>+L33</f>
        <v>2</v>
      </c>
      <c r="M34" s="163">
        <v>6</v>
      </c>
      <c r="N34" s="164">
        <v>12.7</v>
      </c>
      <c r="O34" s="154">
        <f>+O33</f>
        <v>0</v>
      </c>
      <c r="P34" s="12"/>
      <c r="Q34" s="165">
        <f>(((+H34+(I34/16))-J34)-((+H33+(I33/16))-J33))*20</f>
        <v>59.75</v>
      </c>
      <c r="R34" s="156">
        <f>+Q34/E34</f>
        <v>14.9375</v>
      </c>
      <c r="S34" s="157">
        <f>(+R34/C34)/G34</f>
        <v>2.9874999999999998</v>
      </c>
      <c r="T34" s="12"/>
      <c r="U34" s="165">
        <f>(((+M34+(N34/16))-O34)-((+M33+(N33/16))-O33))*20</f>
        <v>71.875</v>
      </c>
      <c r="V34" s="156">
        <f>+U34/E34</f>
        <v>17.96875</v>
      </c>
      <c r="W34" s="157">
        <f>(+V34/C34)/L34</f>
        <v>8.984375</v>
      </c>
      <c r="X34" s="30" t="s">
        <v>129</v>
      </c>
      <c r="Y34" s="50">
        <f>+U34+Q34</f>
        <v>131.625</v>
      </c>
      <c r="Z34" s="158">
        <f>+Y34/TOTAL_MEASUED_INCOME</f>
        <v>7.0642694217093793E-2</v>
      </c>
      <c r="AA34" s="159">
        <f>((+R34+V34)/C34)/(+G34+L34)</f>
        <v>4.7008928571428568</v>
      </c>
      <c r="AD34" s="5">
        <v>50</v>
      </c>
      <c r="AE34" s="160">
        <f>+E34/AD34</f>
        <v>0.08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5</v>
      </c>
      <c r="H35" s="163">
        <v>8</v>
      </c>
      <c r="I35" s="164">
        <v>3.1</v>
      </c>
      <c r="J35" s="154">
        <f>+J34</f>
        <v>0</v>
      </c>
      <c r="K35" s="12"/>
      <c r="L35" s="151">
        <f>+L34</f>
        <v>2</v>
      </c>
      <c r="M35" s="163">
        <v>10</v>
      </c>
      <c r="N35" s="164">
        <v>6.2</v>
      </c>
      <c r="O35" s="154">
        <f>+O34</f>
        <v>0</v>
      </c>
      <c r="P35" s="12"/>
      <c r="Q35" s="165">
        <f>(((+H35+(I35/16))-J35)-((+H34+(I34/16))-J34))*20</f>
        <v>68.125</v>
      </c>
      <c r="R35" s="156">
        <f>+Q35/E35</f>
        <v>17.03125</v>
      </c>
      <c r="S35" s="157">
        <f>(+R35/C35)/G35</f>
        <v>3.40625</v>
      </c>
      <c r="T35" s="12"/>
      <c r="U35" s="165">
        <f>(((+M35+(N35/16))-O35)-((+M34+(N34/16))-O34))*20</f>
        <v>71.874999999999986</v>
      </c>
      <c r="V35" s="156">
        <f>+U35/E35</f>
        <v>17.968749999999996</v>
      </c>
      <c r="W35" s="157">
        <f>(+V35/C35)/L35</f>
        <v>8.9843749999999982</v>
      </c>
      <c r="X35" s="30" t="s">
        <v>132</v>
      </c>
      <c r="Y35" s="50">
        <f>+U35+Q35</f>
        <v>140</v>
      </c>
      <c r="Z35" s="158">
        <f>+Y35/TOTAL_MEASUED_INCOME</f>
        <v>7.5137528512008583E-2</v>
      </c>
      <c r="AA35" s="159">
        <f>((+R35+V35)/C35)/(+G35+L35)</f>
        <v>5</v>
      </c>
      <c r="AD35" s="5">
        <v>50</v>
      </c>
      <c r="AE35" s="160">
        <f>+E35/AD35</f>
        <v>0.08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9</v>
      </c>
      <c r="I36" s="164">
        <v>15.7</v>
      </c>
      <c r="J36" s="154">
        <f>+J35</f>
        <v>0</v>
      </c>
      <c r="K36" s="12"/>
      <c r="L36" s="151">
        <f>+L35</f>
        <v>2</v>
      </c>
      <c r="M36" s="163">
        <v>1</v>
      </c>
      <c r="N36" s="164">
        <v>8</v>
      </c>
      <c r="O36" s="154">
        <f>+O35</f>
        <v>0</v>
      </c>
      <c r="P36" s="12"/>
      <c r="Q36" s="165">
        <f>(((+H36+(I36/16))-J36)-((+H35+(I35/16))-J35))*20</f>
        <v>35.749999999999993</v>
      </c>
      <c r="R36" s="156">
        <f>+Q36/E36</f>
        <v>10.214285714285712</v>
      </c>
      <c r="S36" s="157">
        <f>(+R36/C36)/G36</f>
        <v>2.0428571428571423</v>
      </c>
      <c r="T36" s="12"/>
      <c r="U36" s="155">
        <f>((+M36+(N36/16))-O36)*20</f>
        <v>30</v>
      </c>
      <c r="V36" s="156">
        <f>+U36/E36</f>
        <v>8.5714285714285712</v>
      </c>
      <c r="W36" s="157">
        <f>(+V36/C36)/L36</f>
        <v>4.2857142857142856</v>
      </c>
      <c r="X36" s="30" t="s">
        <v>135</v>
      </c>
      <c r="Y36" s="50">
        <f>+U36+Q36</f>
        <v>65.75</v>
      </c>
      <c r="Z36" s="158">
        <f>+Y36/TOTAL_MEASUED_INCOME</f>
        <v>3.5287803569032605E-2</v>
      </c>
      <c r="AA36" s="159">
        <f>((+R36+V36)/C36)/(+G36+L36)</f>
        <v>2.6836734693877551</v>
      </c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1</v>
      </c>
      <c r="I37" s="164">
        <v>11.2</v>
      </c>
      <c r="J37" s="154">
        <f>+J36</f>
        <v>0</v>
      </c>
      <c r="K37" s="12"/>
      <c r="L37" s="151">
        <f>+L36</f>
        <v>2</v>
      </c>
      <c r="M37" s="163"/>
      <c r="N37" s="164">
        <v>14</v>
      </c>
      <c r="O37" s="154">
        <f>+O36</f>
        <v>0</v>
      </c>
      <c r="P37" s="12"/>
      <c r="Q37" s="155">
        <f>((+H37+(I37/16))-J37)*20</f>
        <v>34</v>
      </c>
      <c r="R37" s="156">
        <f>+Q37/E37</f>
        <v>8.5</v>
      </c>
      <c r="S37" s="157">
        <f>(+R37/C37)/G37</f>
        <v>1.7</v>
      </c>
      <c r="T37" s="12"/>
      <c r="U37" s="155">
        <f>((+M37+(N37/16))-O37)*20</f>
        <v>17.5</v>
      </c>
      <c r="V37" s="156">
        <f>+U37/E37</f>
        <v>4.375</v>
      </c>
      <c r="W37" s="157">
        <f>(+V37/C37)/L37</f>
        <v>2.1875</v>
      </c>
      <c r="X37" s="30" t="s">
        <v>129</v>
      </c>
      <c r="Y37" s="50">
        <f>+U37+Q37</f>
        <v>51.5</v>
      </c>
      <c r="Z37" s="158">
        <f>+Y37/TOTAL_MEASUED_INCOME</f>
        <v>2.7639876559774589E-2</v>
      </c>
      <c r="AA37" s="159">
        <f>((+R37+V37)/C37)/(+G37+L37)</f>
        <v>1.8392857142857142</v>
      </c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2.3873214285714282</v>
      </c>
      <c r="T38" s="12"/>
      <c r="U38" s="165"/>
      <c r="V38" s="156"/>
      <c r="W38" s="166">
        <f>AVERAGE(W33:W37)</f>
        <v>6.4883928571428573</v>
      </c>
      <c r="X38" s="30"/>
      <c r="Y38" s="50"/>
      <c r="Z38" s="167">
        <f>SUM(Y33:Y37)/TOTAL_MEASUED_INCOME</f>
        <v>0.26237756608077284</v>
      </c>
      <c r="AA38" s="168">
        <f>AVERAGE(AA33:AA37)</f>
        <v>3.5590561224489798</v>
      </c>
      <c r="AB38" s="74">
        <f>SUM(U33:U37)</f>
        <v>255.25</v>
      </c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8.1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30.125</v>
      </c>
      <c r="V39" s="156">
        <f t="shared" ref="V39:V44" si="3">+U39/E39</f>
        <v>15.0625</v>
      </c>
      <c r="W39" s="157">
        <f t="shared" ref="W39:W44" si="4">(+V39/C39)/L39</f>
        <v>7.53125</v>
      </c>
      <c r="X39" s="30" t="s">
        <v>139</v>
      </c>
      <c r="Y39" s="50">
        <f t="shared" ref="Y39:Y44" si="5">+U39+Q39</f>
        <v>30.125</v>
      </c>
      <c r="Z39" s="158">
        <f t="shared" ref="Z39:Z44" si="6">+Y39/TOTAL_MEASUED_INCOME</f>
        <v>1.6167986045887563E-2</v>
      </c>
      <c r="AA39" s="159">
        <f t="shared" ref="AA39:AA44" si="7">((+R39+V39)/C39)/(+G39+L39)</f>
        <v>2.1517857142857144</v>
      </c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2</v>
      </c>
      <c r="N40" s="164">
        <v>4.5999999999999996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15.625</v>
      </c>
      <c r="V40" s="156">
        <f t="shared" si="3"/>
        <v>7.8125</v>
      </c>
      <c r="W40" s="157">
        <f t="shared" si="4"/>
        <v>3.90625</v>
      </c>
      <c r="X40" s="30" t="s">
        <v>141</v>
      </c>
      <c r="Y40" s="50">
        <f t="shared" si="5"/>
        <v>15.625</v>
      </c>
      <c r="Z40" s="158">
        <f t="shared" si="6"/>
        <v>8.3858848785723864E-3</v>
      </c>
      <c r="AA40" s="159">
        <f t="shared" si="7"/>
        <v>1.1160714285714286</v>
      </c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/>
      <c r="N41" s="164">
        <v>11.2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14</v>
      </c>
      <c r="V41" s="156">
        <f t="shared" si="3"/>
        <v>7</v>
      </c>
      <c r="W41" s="157">
        <f t="shared" si="4"/>
        <v>3.5</v>
      </c>
      <c r="X41" s="30" t="s">
        <v>143</v>
      </c>
      <c r="Y41" s="50">
        <f t="shared" si="5"/>
        <v>14</v>
      </c>
      <c r="Z41" s="158">
        <f t="shared" si="6"/>
        <v>7.5137528512008583E-3</v>
      </c>
      <c r="AA41" s="159">
        <f t="shared" si="7"/>
        <v>1</v>
      </c>
      <c r="AD41" s="5">
        <v>25</v>
      </c>
      <c r="AE41" s="160">
        <f t="shared" si="8"/>
        <v>0.08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1</v>
      </c>
      <c r="N42" s="164">
        <v>14.7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24.375</v>
      </c>
      <c r="V42" s="156">
        <f t="shared" si="3"/>
        <v>12.1875</v>
      </c>
      <c r="W42" s="157">
        <f t="shared" si="4"/>
        <v>6.09375</v>
      </c>
      <c r="X42" s="30" t="s">
        <v>145</v>
      </c>
      <c r="Y42" s="50">
        <f t="shared" si="5"/>
        <v>24.375</v>
      </c>
      <c r="Z42" s="158">
        <f t="shared" si="6"/>
        <v>1.3081980410572923E-2</v>
      </c>
      <c r="AA42" s="159">
        <f t="shared" si="7"/>
        <v>1.7410714285714286</v>
      </c>
      <c r="AD42" s="5">
        <v>25</v>
      </c>
      <c r="AE42" s="160">
        <f t="shared" si="8"/>
        <v>0.08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3</v>
      </c>
      <c r="N43" s="164">
        <v>6.7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30.000000000000004</v>
      </c>
      <c r="V43" s="156">
        <f t="shared" si="3"/>
        <v>15.000000000000002</v>
      </c>
      <c r="W43" s="157">
        <f t="shared" si="4"/>
        <v>7.5000000000000009</v>
      </c>
      <c r="X43" s="30" t="s">
        <v>147</v>
      </c>
      <c r="Y43" s="50">
        <f t="shared" si="5"/>
        <v>30.000000000000004</v>
      </c>
      <c r="Z43" s="158">
        <f t="shared" si="6"/>
        <v>1.6100898966858984E-2</v>
      </c>
      <c r="AA43" s="159">
        <f t="shared" si="7"/>
        <v>2.1428571428571432</v>
      </c>
      <c r="AD43" s="5">
        <v>25</v>
      </c>
      <c r="AE43" s="160">
        <f t="shared" si="8"/>
        <v>0.08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5</v>
      </c>
      <c r="N44" s="164">
        <v>5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37.875</v>
      </c>
      <c r="V44" s="156">
        <f t="shared" si="3"/>
        <v>18.9375</v>
      </c>
      <c r="W44" s="157">
        <f t="shared" si="4"/>
        <v>9.46875</v>
      </c>
      <c r="X44" s="30" t="s">
        <v>149</v>
      </c>
      <c r="Y44" s="50">
        <f t="shared" si="5"/>
        <v>37.875</v>
      </c>
      <c r="Z44" s="158">
        <f t="shared" si="6"/>
        <v>2.0327384945659464E-2</v>
      </c>
      <c r="AA44" s="159">
        <f t="shared" si="7"/>
        <v>2.7053571428571428</v>
      </c>
      <c r="AD44" s="5">
        <v>25</v>
      </c>
      <c r="AE44" s="160">
        <f t="shared" si="8"/>
        <v>0.08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6.333333333333333</v>
      </c>
      <c r="X45" s="24"/>
      <c r="Y45" s="50"/>
      <c r="Z45" s="167">
        <f>SUM(Y39:Y44)/TOTAL_MEASUED_INCOME</f>
        <v>8.1577888098752174E-2</v>
      </c>
      <c r="AA45" s="168">
        <f>AVERAGE(AA39:AA44)</f>
        <v>1.8095238095238095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/>
      <c r="N46" s="164">
        <v>12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15</v>
      </c>
      <c r="V46" s="156">
        <f t="shared" ref="V46:V57" si="12">+U46/E46</f>
        <v>15</v>
      </c>
      <c r="W46" s="157">
        <f t="shared" ref="W46:W57" si="13">(+V46/C46)/L46</f>
        <v>7.5</v>
      </c>
      <c r="X46" s="30" t="s">
        <v>151</v>
      </c>
      <c r="Y46" s="50">
        <f t="shared" ref="Y46:Y57" si="14">+U46+Q46</f>
        <v>15</v>
      </c>
      <c r="Z46" s="158">
        <f t="shared" ref="Z46:Z57" si="15">+Y46/TOTAL_MEASUED_INCOME</f>
        <v>8.0504494834294921E-3</v>
      </c>
      <c r="AA46" s="159">
        <f t="shared" ref="AA46:AA57" si="16">((+R46+V46)/C46)/(+G46+L46)</f>
        <v>2.1428571428571428</v>
      </c>
      <c r="AD46" s="5">
        <v>14</v>
      </c>
      <c r="AE46" s="160">
        <f t="shared" ref="AE46:AE57" si="17">+E46/AD46</f>
        <v>7.1428571428571425E-2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18">+G46</f>
        <v>5</v>
      </c>
      <c r="H47" s="163"/>
      <c r="I47" s="164"/>
      <c r="J47" s="154">
        <f t="shared" ref="J47:J57" si="19">+J46</f>
        <v>0</v>
      </c>
      <c r="K47" s="12"/>
      <c r="L47" s="151">
        <f t="shared" ref="L47:L57" si="20">+L46</f>
        <v>2</v>
      </c>
      <c r="M47" s="163">
        <v>1</v>
      </c>
      <c r="N47" s="164">
        <v>14.3</v>
      </c>
      <c r="O47" s="154">
        <f t="shared" ref="O47:O57" si="21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>(((+M47+(N47/16))-O47)-((+M46+(N46/16))-O46))*20</f>
        <v>22.875</v>
      </c>
      <c r="V47" s="156">
        <f t="shared" si="12"/>
        <v>22.875</v>
      </c>
      <c r="W47" s="157">
        <f t="shared" si="13"/>
        <v>11.4375</v>
      </c>
      <c r="X47" s="30" t="s">
        <v>153</v>
      </c>
      <c r="Y47" s="50">
        <f t="shared" si="14"/>
        <v>22.875</v>
      </c>
      <c r="Z47" s="158">
        <f t="shared" si="15"/>
        <v>1.2276935462229974E-2</v>
      </c>
      <c r="AA47" s="159">
        <f t="shared" si="16"/>
        <v>3.2678571428571428</v>
      </c>
      <c r="AD47" s="5">
        <v>14</v>
      </c>
      <c r="AE47" s="160">
        <f t="shared" si="17"/>
        <v>7.1428571428571425E-2</v>
      </c>
      <c r="AF47" s="4">
        <f t="shared" ref="AF47:AF57" si="22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18"/>
        <v>5</v>
      </c>
      <c r="H48" s="163"/>
      <c r="I48" s="164"/>
      <c r="J48" s="154">
        <f t="shared" si="19"/>
        <v>0</v>
      </c>
      <c r="K48" s="12"/>
      <c r="L48" s="151">
        <f t="shared" si="20"/>
        <v>2</v>
      </c>
      <c r="M48" s="163">
        <v>3</v>
      </c>
      <c r="N48" s="164">
        <v>3.1</v>
      </c>
      <c r="O48" s="154">
        <f t="shared" si="21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>(((+M48+(N48/16))-O48)-((+M47+(N47/16))-O47))*20</f>
        <v>26</v>
      </c>
      <c r="V48" s="156">
        <f t="shared" si="12"/>
        <v>26</v>
      </c>
      <c r="W48" s="157">
        <f t="shared" si="13"/>
        <v>13</v>
      </c>
      <c r="X48" s="30" t="s">
        <v>155</v>
      </c>
      <c r="Y48" s="50">
        <f t="shared" si="14"/>
        <v>26</v>
      </c>
      <c r="Z48" s="158">
        <f t="shared" si="15"/>
        <v>1.3954112437944453E-2</v>
      </c>
      <c r="AA48" s="159">
        <f t="shared" si="16"/>
        <v>3.7142857142857144</v>
      </c>
      <c r="AD48" s="5">
        <v>14</v>
      </c>
      <c r="AE48" s="160">
        <f t="shared" si="17"/>
        <v>7.1428571428571425E-2</v>
      </c>
      <c r="AF48" s="4">
        <f t="shared" si="22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18"/>
        <v>5</v>
      </c>
      <c r="H49" s="163"/>
      <c r="I49" s="164"/>
      <c r="J49" s="154">
        <f t="shared" si="19"/>
        <v>0</v>
      </c>
      <c r="K49" s="12"/>
      <c r="L49" s="151">
        <f t="shared" si="20"/>
        <v>2</v>
      </c>
      <c r="M49" s="163">
        <v>4</v>
      </c>
      <c r="N49" s="164">
        <v>15.8</v>
      </c>
      <c r="O49" s="154">
        <f t="shared" si="21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>(((+M49+(N49/16))-O49)-((+M48+(N48/16))-O48))*20</f>
        <v>35.874999999999993</v>
      </c>
      <c r="V49" s="156">
        <f t="shared" si="12"/>
        <v>35.874999999999993</v>
      </c>
      <c r="W49" s="157">
        <f t="shared" si="13"/>
        <v>17.937499999999996</v>
      </c>
      <c r="X49" s="30" t="s">
        <v>157</v>
      </c>
      <c r="Y49" s="50">
        <f t="shared" si="14"/>
        <v>35.874999999999993</v>
      </c>
      <c r="Z49" s="158">
        <f t="shared" si="15"/>
        <v>1.9253991681202197E-2</v>
      </c>
      <c r="AA49" s="159">
        <f t="shared" si="16"/>
        <v>5.1249999999999991</v>
      </c>
      <c r="AD49" s="5">
        <v>14</v>
      </c>
      <c r="AE49" s="160">
        <f t="shared" si="17"/>
        <v>7.1428571428571425E-2</v>
      </c>
      <c r="AF49" s="4">
        <f t="shared" si="22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18"/>
        <v>5</v>
      </c>
      <c r="H50" s="163"/>
      <c r="I50" s="164"/>
      <c r="J50" s="154">
        <f t="shared" si="19"/>
        <v>0</v>
      </c>
      <c r="K50" s="12"/>
      <c r="L50" s="151">
        <f t="shared" si="20"/>
        <v>2</v>
      </c>
      <c r="M50" s="163">
        <v>6</v>
      </c>
      <c r="N50" s="164">
        <v>11</v>
      </c>
      <c r="O50" s="154">
        <f t="shared" si="21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>(((+M50+(N50/16))-O50)-((+M49+(N49/16))-O49))*20</f>
        <v>34</v>
      </c>
      <c r="V50" s="156">
        <f t="shared" si="12"/>
        <v>34</v>
      </c>
      <c r="W50" s="157">
        <f t="shared" si="13"/>
        <v>17</v>
      </c>
      <c r="X50" s="30" t="s">
        <v>159</v>
      </c>
      <c r="Y50" s="50">
        <f t="shared" si="14"/>
        <v>34</v>
      </c>
      <c r="Z50" s="158">
        <f t="shared" si="15"/>
        <v>1.8247685495773516E-2</v>
      </c>
      <c r="AA50" s="159">
        <f t="shared" si="16"/>
        <v>4.8571428571428568</v>
      </c>
      <c r="AD50" s="5">
        <v>14</v>
      </c>
      <c r="AE50" s="160">
        <f t="shared" si="17"/>
        <v>7.1428571428571425E-2</v>
      </c>
      <c r="AF50" s="4">
        <f t="shared" si="22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18"/>
        <v>5</v>
      </c>
      <c r="H51" s="163"/>
      <c r="I51" s="164"/>
      <c r="J51" s="154">
        <f t="shared" si="19"/>
        <v>0</v>
      </c>
      <c r="K51" s="12"/>
      <c r="L51" s="151">
        <f t="shared" si="20"/>
        <v>2</v>
      </c>
      <c r="M51" s="163">
        <v>8</v>
      </c>
      <c r="N51" s="164">
        <v>6.2</v>
      </c>
      <c r="O51" s="154">
        <f t="shared" si="21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>(((+M51+(N51/16))-O51)-((+M50+(N50/16))-O50))*20</f>
        <v>33.999999999999986</v>
      </c>
      <c r="V51" s="156">
        <f t="shared" si="12"/>
        <v>33.999999999999986</v>
      </c>
      <c r="W51" s="157">
        <f t="shared" si="13"/>
        <v>16.999999999999993</v>
      </c>
      <c r="X51" s="30" t="s">
        <v>161</v>
      </c>
      <c r="Y51" s="50">
        <f t="shared" si="14"/>
        <v>33.999999999999986</v>
      </c>
      <c r="Z51" s="158">
        <f t="shared" si="15"/>
        <v>1.8247685495773505E-2</v>
      </c>
      <c r="AA51" s="159">
        <f t="shared" si="16"/>
        <v>4.857142857142855</v>
      </c>
      <c r="AD51" s="5">
        <v>14</v>
      </c>
      <c r="AE51" s="160">
        <f t="shared" si="17"/>
        <v>7.1428571428571425E-2</v>
      </c>
      <c r="AF51" s="4">
        <f t="shared" si="22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18"/>
        <v>5</v>
      </c>
      <c r="H52" s="163"/>
      <c r="I52" s="164"/>
      <c r="J52" s="154">
        <f t="shared" si="19"/>
        <v>0</v>
      </c>
      <c r="K52" s="12"/>
      <c r="L52" s="151">
        <f t="shared" si="20"/>
        <v>2</v>
      </c>
      <c r="M52" s="163">
        <v>1</v>
      </c>
      <c r="N52" s="164">
        <v>15.2</v>
      </c>
      <c r="O52" s="154">
        <f t="shared" si="21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55">
        <f>((+M52+(N52/16))-O52)*20</f>
        <v>39</v>
      </c>
      <c r="V52" s="156">
        <f t="shared" si="12"/>
        <v>39</v>
      </c>
      <c r="W52" s="157">
        <f t="shared" si="13"/>
        <v>19.5</v>
      </c>
      <c r="X52" s="30" t="s">
        <v>163</v>
      </c>
      <c r="Y52" s="50">
        <f t="shared" si="14"/>
        <v>39</v>
      </c>
      <c r="Z52" s="158">
        <f t="shared" si="15"/>
        <v>2.0931168656916677E-2</v>
      </c>
      <c r="AA52" s="159">
        <f t="shared" si="16"/>
        <v>5.5714285714285712</v>
      </c>
      <c r="AD52" s="5">
        <v>14</v>
      </c>
      <c r="AE52" s="160">
        <f t="shared" si="17"/>
        <v>7.1428571428571425E-2</v>
      </c>
      <c r="AF52" s="4">
        <f t="shared" si="22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18"/>
        <v>5</v>
      </c>
      <c r="H53" s="163"/>
      <c r="I53" s="164"/>
      <c r="J53" s="154">
        <f t="shared" si="19"/>
        <v>0</v>
      </c>
      <c r="K53" s="12"/>
      <c r="L53" s="151">
        <f t="shared" si="20"/>
        <v>2</v>
      </c>
      <c r="M53" s="163">
        <v>3</v>
      </c>
      <c r="N53" s="164">
        <v>12.7</v>
      </c>
      <c r="O53" s="154">
        <f t="shared" si="21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65">
        <f>(((+M53+(N53/16))-O53)-((+M52+(N52/16))-O52))*20</f>
        <v>36.875000000000007</v>
      </c>
      <c r="V53" s="156">
        <f t="shared" si="12"/>
        <v>36.875000000000007</v>
      </c>
      <c r="W53" s="157">
        <f t="shared" si="13"/>
        <v>18.437500000000004</v>
      </c>
      <c r="X53" s="30" t="s">
        <v>165</v>
      </c>
      <c r="Y53" s="50">
        <f t="shared" si="14"/>
        <v>36.875000000000007</v>
      </c>
      <c r="Z53" s="158">
        <f t="shared" si="15"/>
        <v>1.9790688313430838E-2</v>
      </c>
      <c r="AA53" s="159">
        <f t="shared" si="16"/>
        <v>5.2678571428571441</v>
      </c>
      <c r="AD53" s="5">
        <v>14</v>
      </c>
      <c r="AE53" s="160">
        <f t="shared" si="17"/>
        <v>7.1428571428571425E-2</v>
      </c>
      <c r="AF53" s="4">
        <f t="shared" si="22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18"/>
        <v>5</v>
      </c>
      <c r="H54" s="163"/>
      <c r="I54" s="164"/>
      <c r="J54" s="154">
        <f t="shared" si="19"/>
        <v>0</v>
      </c>
      <c r="K54" s="12"/>
      <c r="L54" s="151">
        <f t="shared" si="20"/>
        <v>2</v>
      </c>
      <c r="M54" s="163">
        <v>5</v>
      </c>
      <c r="N54" s="164">
        <v>7</v>
      </c>
      <c r="O54" s="154">
        <f t="shared" si="21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32.875</v>
      </c>
      <c r="V54" s="156">
        <f t="shared" si="12"/>
        <v>32.875</v>
      </c>
      <c r="W54" s="157">
        <f t="shared" si="13"/>
        <v>16.4375</v>
      </c>
      <c r="X54" s="30" t="s">
        <v>167</v>
      </c>
      <c r="Y54" s="50">
        <f t="shared" si="14"/>
        <v>32.875</v>
      </c>
      <c r="Z54" s="158">
        <f t="shared" si="15"/>
        <v>1.7643901784516303E-2</v>
      </c>
      <c r="AA54" s="159">
        <f t="shared" si="16"/>
        <v>4.6964285714285712</v>
      </c>
      <c r="AD54" s="5">
        <v>14</v>
      </c>
      <c r="AE54" s="160">
        <f t="shared" si="17"/>
        <v>7.1428571428571425E-2</v>
      </c>
      <c r="AF54" s="4">
        <f t="shared" si="22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18"/>
        <v>5</v>
      </c>
      <c r="H55" s="163"/>
      <c r="I55" s="164"/>
      <c r="J55" s="154">
        <f t="shared" si="19"/>
        <v>0</v>
      </c>
      <c r="K55" s="12"/>
      <c r="L55" s="151">
        <f t="shared" si="20"/>
        <v>2</v>
      </c>
      <c r="M55" s="163">
        <v>6</v>
      </c>
      <c r="N55" s="164">
        <v>15</v>
      </c>
      <c r="O55" s="154">
        <f t="shared" si="21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30</v>
      </c>
      <c r="V55" s="156">
        <f t="shared" si="12"/>
        <v>30</v>
      </c>
      <c r="W55" s="157">
        <f t="shared" si="13"/>
        <v>15</v>
      </c>
      <c r="X55" s="30" t="s">
        <v>169</v>
      </c>
      <c r="Y55" s="50">
        <f t="shared" si="14"/>
        <v>30</v>
      </c>
      <c r="Z55" s="158">
        <f t="shared" si="15"/>
        <v>1.6100898966858984E-2</v>
      </c>
      <c r="AA55" s="159">
        <f t="shared" si="16"/>
        <v>4.2857142857142856</v>
      </c>
      <c r="AD55" s="5">
        <v>14</v>
      </c>
      <c r="AE55" s="160">
        <f t="shared" si="17"/>
        <v>7.1428571428571425E-2</v>
      </c>
      <c r="AF55" s="4">
        <f t="shared" si="22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18"/>
        <v>5</v>
      </c>
      <c r="H56" s="163"/>
      <c r="I56" s="164"/>
      <c r="J56" s="154">
        <f t="shared" si="19"/>
        <v>0</v>
      </c>
      <c r="K56" s="12"/>
      <c r="L56" s="151">
        <f t="shared" si="20"/>
        <v>2</v>
      </c>
      <c r="M56" s="163">
        <v>8</v>
      </c>
      <c r="N56" s="164">
        <v>3.8</v>
      </c>
      <c r="O56" s="154">
        <f t="shared" si="21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26.000000000000014</v>
      </c>
      <c r="V56" s="156">
        <f t="shared" si="12"/>
        <v>26.000000000000014</v>
      </c>
      <c r="W56" s="157">
        <f t="shared" si="13"/>
        <v>13.000000000000007</v>
      </c>
      <c r="X56" s="30" t="s">
        <v>171</v>
      </c>
      <c r="Y56" s="50">
        <f t="shared" si="14"/>
        <v>26.000000000000014</v>
      </c>
      <c r="Z56" s="158">
        <f t="shared" si="15"/>
        <v>1.395411243794446E-2</v>
      </c>
      <c r="AA56" s="159">
        <f t="shared" si="16"/>
        <v>3.7142857142857162</v>
      </c>
      <c r="AD56" s="5">
        <v>14</v>
      </c>
      <c r="AE56" s="160">
        <f t="shared" si="17"/>
        <v>7.1428571428571425E-2</v>
      </c>
      <c r="AF56" s="4">
        <f t="shared" si="22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18"/>
        <v>5</v>
      </c>
      <c r="H57" s="163"/>
      <c r="I57" s="171"/>
      <c r="J57" s="154">
        <f t="shared" si="19"/>
        <v>0</v>
      </c>
      <c r="K57" s="12"/>
      <c r="L57" s="151">
        <f t="shared" si="20"/>
        <v>2</v>
      </c>
      <c r="M57" s="163">
        <v>9</v>
      </c>
      <c r="N57" s="171">
        <v>4.5999999999999996</v>
      </c>
      <c r="O57" s="154">
        <f t="shared" si="21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20.999999999999979</v>
      </c>
      <c r="V57" s="156">
        <f t="shared" si="12"/>
        <v>20.999999999999979</v>
      </c>
      <c r="W57" s="157">
        <f t="shared" si="13"/>
        <v>10.499999999999989</v>
      </c>
      <c r="X57" s="30" t="s">
        <v>173</v>
      </c>
      <c r="Y57" s="50">
        <f t="shared" si="14"/>
        <v>20.999999999999979</v>
      </c>
      <c r="Z57" s="158">
        <f t="shared" si="15"/>
        <v>1.1270629276801277E-2</v>
      </c>
      <c r="AA57" s="159">
        <f t="shared" si="16"/>
        <v>2.9999999999999969</v>
      </c>
      <c r="AD57" s="5">
        <v>14</v>
      </c>
      <c r="AE57" s="160">
        <f t="shared" si="17"/>
        <v>7.1428571428571425E-2</v>
      </c>
      <c r="AF57" s="4">
        <f t="shared" si="22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14.729166666666666</v>
      </c>
      <c r="X58" s="24"/>
      <c r="Y58" s="50"/>
      <c r="Z58" s="167">
        <f>SUM(Y46:Y57)/TOTAL_MEASUED_INCOME</f>
        <v>0.18972225949282168</v>
      </c>
      <c r="AA58" s="168">
        <f>AVERAGE(AA46:AA57)</f>
        <v>4.208333333333333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71">
        <v>7.8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29.75</v>
      </c>
      <c r="V59" s="156">
        <f>+U59/E59</f>
        <v>17</v>
      </c>
      <c r="W59" s="157">
        <f>(+V59/C59)/L59</f>
        <v>8.5</v>
      </c>
      <c r="X59" s="30" t="s">
        <v>176</v>
      </c>
      <c r="Y59" s="50">
        <f>+U59+Q59</f>
        <v>29.75</v>
      </c>
      <c r="Z59" s="158">
        <f>+Y59/TOTAL_MEASUED_INCOME</f>
        <v>1.5966724808801826E-2</v>
      </c>
      <c r="AA59" s="159">
        <f>((+R59+V59)/C59)/(+G59+L59)</f>
        <v>2.4285714285714284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2</v>
      </c>
      <c r="N60" s="171">
        <v>15.5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29.625</v>
      </c>
      <c r="V60" s="156">
        <f>+U60/E60</f>
        <v>16.928571428571427</v>
      </c>
      <c r="W60" s="157">
        <f>(+V60/C60)/L60</f>
        <v>8.4642857142857135</v>
      </c>
      <c r="X60" s="30" t="s">
        <v>178</v>
      </c>
      <c r="Y60" s="50">
        <f>+U60+Q60</f>
        <v>29.625</v>
      </c>
      <c r="Z60" s="158">
        <f>+Y60/TOTAL_MEASUED_INCOME</f>
        <v>1.5899637729773246E-2</v>
      </c>
      <c r="AA60" s="159">
        <f>((+R60+V60)/C60)/(+G60+L60)</f>
        <v>2.4183673469387754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3</v>
      </c>
      <c r="N61" s="171">
        <v>14.9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19.25</v>
      </c>
      <c r="V61" s="156">
        <f>+U61/E61</f>
        <v>11</v>
      </c>
      <c r="W61" s="157">
        <f>(+V61/C61)/L61</f>
        <v>5.5</v>
      </c>
      <c r="X61" s="30" t="s">
        <v>180</v>
      </c>
      <c r="Y61" s="50">
        <f>+U61+Q61</f>
        <v>19.25</v>
      </c>
      <c r="Z61" s="158">
        <f>+Y61/TOTAL_MEASUED_INCOME</f>
        <v>1.033141017040118E-2</v>
      </c>
      <c r="AA61" s="159">
        <f>((+R61+V61)/C61)/(+G61+L61)</f>
        <v>1.5714285714285714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71">
        <v>1.1000000000000001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22.749999999999993</v>
      </c>
      <c r="V62" s="156">
        <f>+U62/E62</f>
        <v>12.999999999999996</v>
      </c>
      <c r="W62" s="157">
        <f>(+V62/C62)/L62</f>
        <v>6.4999999999999982</v>
      </c>
      <c r="X62" s="30" t="s">
        <v>182</v>
      </c>
      <c r="Y62" s="50">
        <f>+U62+Q62</f>
        <v>22.749999999999993</v>
      </c>
      <c r="Z62" s="158">
        <f>+Y62/TOTAL_MEASUED_INCOME</f>
        <v>1.2209848383201391E-2</v>
      </c>
      <c r="AA62" s="159">
        <f>((+R62+V62)/C62)/(+G62+L62)</f>
        <v>1.8571428571428565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6</v>
      </c>
      <c r="N63" s="174">
        <v>7.4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27.875000000000014</v>
      </c>
      <c r="V63" s="156">
        <f>+U63/E63</f>
        <v>15.928571428571436</v>
      </c>
      <c r="W63" s="157">
        <f>(+V63/C63)/L63</f>
        <v>7.964285714285718</v>
      </c>
      <c r="X63" s="30" t="s">
        <v>184</v>
      </c>
      <c r="Y63" s="50">
        <f>+U63+Q63</f>
        <v>27.875000000000014</v>
      </c>
      <c r="Z63" s="158">
        <f>+Y63/TOTAL_MEASUED_INCOME</f>
        <v>1.4960418623373146E-2</v>
      </c>
      <c r="AA63" s="159">
        <f>((+R63+V63)/C63)/(+G63+L63)</f>
        <v>2.2755102040816335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7.3857142857142861</v>
      </c>
      <c r="X64" s="30"/>
      <c r="Y64" s="50">
        <f>SUM(Y33:Y63)</f>
        <v>1123.625</v>
      </c>
      <c r="Z64" s="167">
        <f>SUM(Y59:Y63)/TOTAL_MEASUED_INCOME</f>
        <v>6.9368039715550792E-2</v>
      </c>
      <c r="AA64" s="168">
        <f>AVERAGE(AA59:AA63)</f>
        <v>2.1102040816326531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40651</v>
      </c>
      <c r="B67" s="12"/>
      <c r="C67" s="136">
        <f>+C30</f>
        <v>40655</v>
      </c>
      <c r="D67" s="136">
        <f>+D30</f>
        <v>40657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1</v>
      </c>
      <c r="N70" s="153">
        <v>14.9</v>
      </c>
      <c r="O70" s="154">
        <f>+O68</f>
        <v>0</v>
      </c>
      <c r="Q70" s="155">
        <f>((+H70+(I70/16))-J70)*20</f>
        <v>0</v>
      </c>
      <c r="R70" s="191">
        <f t="shared" ref="R70:R79" si="23">+Q70/E70</f>
        <v>0</v>
      </c>
      <c r="S70" s="192">
        <f t="shared" ref="S70:S79" si="24">((+Q70/+E70)*F70)/G70</f>
        <v>0</v>
      </c>
      <c r="U70" s="155">
        <f>((+M70+(N70/16))-O70)*20</f>
        <v>38.625</v>
      </c>
      <c r="V70" s="156">
        <f t="shared" ref="V70:V79" si="25">+U70/E70</f>
        <v>154.5</v>
      </c>
      <c r="W70" s="192">
        <f t="shared" ref="W70:W79" si="26">((+U70/+E70)*F70)/(L70+G70)</f>
        <v>154.5</v>
      </c>
      <c r="X70" s="193">
        <f>+X67*60</f>
        <v>840</v>
      </c>
      <c r="Y70" s="50">
        <f t="shared" ref="Y70:Y79" si="27">+U70+Q70</f>
        <v>38.625</v>
      </c>
      <c r="Z70" s="158">
        <f t="shared" ref="Z70:Z79" si="28">+Y70/TOTAL_MEASUED_INCOME</f>
        <v>2.072990741983094E-2</v>
      </c>
      <c r="AA70" s="194">
        <f t="shared" ref="AA70:AA79" si="29">((+V70+R70)*F70)/(+X70*7)</f>
        <v>0.18392857142857144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0">+G70</f>
        <v>5</v>
      </c>
      <c r="H71" s="163"/>
      <c r="I71" s="164"/>
      <c r="J71" s="154">
        <f t="shared" ref="J71:J79" si="31">+J70</f>
        <v>0</v>
      </c>
      <c r="K71" s="178"/>
      <c r="L71" s="151">
        <f t="shared" ref="L71:L79" si="32">+L70</f>
        <v>2</v>
      </c>
      <c r="M71" s="163">
        <v>3</v>
      </c>
      <c r="N71" s="164">
        <v>0.1</v>
      </c>
      <c r="O71" s="154">
        <f t="shared" ref="O71:O79" si="33">+O70</f>
        <v>0</v>
      </c>
      <c r="Q71" s="165">
        <f>(((+H71+(I71/16))-J71)-((+H70+(I70/16))-J70))*20</f>
        <v>0</v>
      </c>
      <c r="R71" s="191">
        <f t="shared" si="23"/>
        <v>0</v>
      </c>
      <c r="S71" s="192">
        <f t="shared" si="24"/>
        <v>0</v>
      </c>
      <c r="U71" s="165">
        <f>(((+M71+(N71/16))-O71)-((+M70+(N70/16))-O70))*20</f>
        <v>21.500000000000004</v>
      </c>
      <c r="V71" s="156">
        <f t="shared" si="25"/>
        <v>86.000000000000014</v>
      </c>
      <c r="W71" s="192">
        <f t="shared" si="26"/>
        <v>86.000000000000014</v>
      </c>
      <c r="X71" s="193">
        <f t="shared" ref="X71:X79" si="34">+X70</f>
        <v>840</v>
      </c>
      <c r="Y71" s="50">
        <f t="shared" si="27"/>
        <v>21.500000000000004</v>
      </c>
      <c r="Z71" s="158">
        <f t="shared" si="28"/>
        <v>1.1538977592915606E-2</v>
      </c>
      <c r="AA71" s="194">
        <f t="shared" si="29"/>
        <v>0.10238095238095241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0"/>
        <v>5</v>
      </c>
      <c r="H72" s="163"/>
      <c r="I72" s="164"/>
      <c r="J72" s="154">
        <f t="shared" si="31"/>
        <v>0</v>
      </c>
      <c r="K72" s="178"/>
      <c r="L72" s="151">
        <f t="shared" si="32"/>
        <v>2</v>
      </c>
      <c r="M72" s="163">
        <v>5</v>
      </c>
      <c r="N72" s="164">
        <v>6.4</v>
      </c>
      <c r="O72" s="154">
        <f t="shared" si="33"/>
        <v>0</v>
      </c>
      <c r="Q72" s="155">
        <f>((+H72+(I72/16))-J72)*20</f>
        <v>0</v>
      </c>
      <c r="R72" s="191">
        <f t="shared" si="23"/>
        <v>0</v>
      </c>
      <c r="S72" s="192">
        <f t="shared" si="24"/>
        <v>0</v>
      </c>
      <c r="U72" s="165">
        <f>(((+M72+(N72/16))-O72)-((+M71+(N71/16))-O71))*20</f>
        <v>47.875000000000007</v>
      </c>
      <c r="V72" s="156">
        <f t="shared" si="25"/>
        <v>191.50000000000003</v>
      </c>
      <c r="W72" s="192">
        <f t="shared" si="26"/>
        <v>191.50000000000003</v>
      </c>
      <c r="X72" s="193">
        <f t="shared" si="34"/>
        <v>840</v>
      </c>
      <c r="Y72" s="50">
        <f t="shared" si="27"/>
        <v>47.875000000000007</v>
      </c>
      <c r="Z72" s="158">
        <f t="shared" si="28"/>
        <v>2.5694351267945798E-2</v>
      </c>
      <c r="AA72" s="194">
        <f t="shared" si="29"/>
        <v>0.22797619047619053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0"/>
        <v>5</v>
      </c>
      <c r="H73" s="163"/>
      <c r="I73" s="164"/>
      <c r="J73" s="154">
        <f t="shared" si="31"/>
        <v>0</v>
      </c>
      <c r="K73" s="178"/>
      <c r="L73" s="151">
        <f t="shared" si="32"/>
        <v>2</v>
      </c>
      <c r="M73" s="163">
        <v>6</v>
      </c>
      <c r="N73" s="164">
        <v>11</v>
      </c>
      <c r="O73" s="154">
        <f t="shared" si="33"/>
        <v>0</v>
      </c>
      <c r="Q73" s="165">
        <f t="shared" ref="Q73:Q78" si="35">(((+H73+(I73/16))-J73)-((+H72+(I72/16))-J72))*20</f>
        <v>0</v>
      </c>
      <c r="R73" s="191">
        <f t="shared" si="23"/>
        <v>0</v>
      </c>
      <c r="S73" s="192">
        <f t="shared" si="24"/>
        <v>0</v>
      </c>
      <c r="U73" s="165">
        <f>(((+M73+(N73/16))-O73)-((+M72+(N72/16))-O72))*20</f>
        <v>25.749999999999993</v>
      </c>
      <c r="V73" s="156">
        <f t="shared" si="25"/>
        <v>102.99999999999997</v>
      </c>
      <c r="W73" s="192">
        <f t="shared" si="26"/>
        <v>102.99999999999997</v>
      </c>
      <c r="X73" s="193">
        <f t="shared" si="34"/>
        <v>840</v>
      </c>
      <c r="Y73" s="50">
        <f t="shared" si="27"/>
        <v>25.749999999999993</v>
      </c>
      <c r="Z73" s="158">
        <f t="shared" si="28"/>
        <v>1.3819938279887289E-2</v>
      </c>
      <c r="AA73" s="194">
        <f t="shared" si="29"/>
        <v>0.12261904761904759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0"/>
        <v>5</v>
      </c>
      <c r="H74" s="163"/>
      <c r="I74" s="164"/>
      <c r="J74" s="154">
        <f t="shared" si="31"/>
        <v>0</v>
      </c>
      <c r="K74" s="178"/>
      <c r="L74" s="151">
        <f t="shared" si="32"/>
        <v>2</v>
      </c>
      <c r="M74" s="163">
        <v>9</v>
      </c>
      <c r="N74" s="164">
        <v>3</v>
      </c>
      <c r="O74" s="154">
        <f t="shared" si="33"/>
        <v>0</v>
      </c>
      <c r="Q74" s="165">
        <f t="shared" si="35"/>
        <v>0</v>
      </c>
      <c r="R74" s="191">
        <f t="shared" si="23"/>
        <v>0</v>
      </c>
      <c r="S74" s="192">
        <f t="shared" si="24"/>
        <v>0</v>
      </c>
      <c r="U74" s="165">
        <f>(((+M74+(N74/16))-O74)-((+M73+(N73/16))-O73))*20</f>
        <v>50</v>
      </c>
      <c r="V74" s="156">
        <f t="shared" si="25"/>
        <v>200</v>
      </c>
      <c r="W74" s="192">
        <f t="shared" si="26"/>
        <v>200</v>
      </c>
      <c r="X74" s="193">
        <f t="shared" si="34"/>
        <v>840</v>
      </c>
      <c r="Y74" s="50">
        <f t="shared" si="27"/>
        <v>50</v>
      </c>
      <c r="Z74" s="158">
        <f t="shared" si="28"/>
        <v>2.6834831611431638E-2</v>
      </c>
      <c r="AA74" s="194">
        <f t="shared" si="29"/>
        <v>0.23809523809523808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0"/>
        <v>5</v>
      </c>
      <c r="H75" s="163"/>
      <c r="I75" s="164"/>
      <c r="J75" s="154">
        <f t="shared" si="31"/>
        <v>0</v>
      </c>
      <c r="K75" s="178"/>
      <c r="L75" s="151">
        <f t="shared" si="32"/>
        <v>2</v>
      </c>
      <c r="M75" s="163">
        <v>10</v>
      </c>
      <c r="N75" s="164">
        <v>8.6</v>
      </c>
      <c r="O75" s="154">
        <f t="shared" si="33"/>
        <v>0</v>
      </c>
      <c r="Q75" s="165">
        <f t="shared" si="35"/>
        <v>0</v>
      </c>
      <c r="R75" s="191">
        <f t="shared" si="23"/>
        <v>0</v>
      </c>
      <c r="S75" s="192">
        <f t="shared" si="24"/>
        <v>0</v>
      </c>
      <c r="U75" s="165">
        <f>(((+M75+(N75/16))-O75)-((+M74+(N74/16))-O74))*20</f>
        <v>26.999999999999993</v>
      </c>
      <c r="V75" s="156">
        <f t="shared" si="25"/>
        <v>107.99999999999997</v>
      </c>
      <c r="W75" s="192">
        <f t="shared" si="26"/>
        <v>107.99999999999997</v>
      </c>
      <c r="X75" s="193">
        <f t="shared" si="34"/>
        <v>840</v>
      </c>
      <c r="Y75" s="50">
        <f t="shared" si="27"/>
        <v>26.999999999999993</v>
      </c>
      <c r="Z75" s="158">
        <f t="shared" si="28"/>
        <v>1.4490809070173081E-2</v>
      </c>
      <c r="AA75" s="194">
        <f t="shared" si="29"/>
        <v>0.12857142857142853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0"/>
        <v>5</v>
      </c>
      <c r="H76" s="163"/>
      <c r="I76" s="164"/>
      <c r="J76" s="154">
        <f t="shared" si="31"/>
        <v>0</v>
      </c>
      <c r="K76" s="178"/>
      <c r="L76" s="151">
        <f t="shared" si="32"/>
        <v>2</v>
      </c>
      <c r="M76" s="163">
        <v>2</v>
      </c>
      <c r="N76" s="164">
        <v>13.1</v>
      </c>
      <c r="O76" s="154">
        <f t="shared" si="33"/>
        <v>0</v>
      </c>
      <c r="Q76" s="165">
        <f t="shared" si="35"/>
        <v>0</v>
      </c>
      <c r="R76" s="191">
        <f t="shared" si="23"/>
        <v>0</v>
      </c>
      <c r="S76" s="192">
        <f t="shared" si="24"/>
        <v>0</v>
      </c>
      <c r="U76" s="155">
        <f>((+M76+(N76/16))-O76)*20</f>
        <v>56.375</v>
      </c>
      <c r="V76" s="156">
        <f t="shared" si="25"/>
        <v>225.5</v>
      </c>
      <c r="W76" s="192">
        <f t="shared" si="26"/>
        <v>225.5</v>
      </c>
      <c r="X76" s="193">
        <f t="shared" si="34"/>
        <v>840</v>
      </c>
      <c r="Y76" s="50">
        <f t="shared" si="27"/>
        <v>56.375</v>
      </c>
      <c r="Z76" s="158">
        <f t="shared" si="28"/>
        <v>3.0256272641889171E-2</v>
      </c>
      <c r="AA76" s="194">
        <f t="shared" si="29"/>
        <v>0.26845238095238094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0"/>
        <v>5</v>
      </c>
      <c r="H77" s="163"/>
      <c r="I77" s="164"/>
      <c r="J77" s="154">
        <f t="shared" si="31"/>
        <v>0</v>
      </c>
      <c r="K77" s="178"/>
      <c r="L77" s="151">
        <f t="shared" si="32"/>
        <v>2</v>
      </c>
      <c r="M77" s="163">
        <v>4</v>
      </c>
      <c r="N77" s="164">
        <v>4.2</v>
      </c>
      <c r="O77" s="154">
        <f t="shared" si="33"/>
        <v>0</v>
      </c>
      <c r="Q77" s="165">
        <f t="shared" si="35"/>
        <v>0</v>
      </c>
      <c r="R77" s="191">
        <f t="shared" si="23"/>
        <v>0</v>
      </c>
      <c r="S77" s="192">
        <f t="shared" si="24"/>
        <v>0</v>
      </c>
      <c r="U77" s="165">
        <f>(((+M77+(N77/16))-O77)-((+M76+(N76/16))-O76))*20</f>
        <v>28.875</v>
      </c>
      <c r="V77" s="156">
        <f t="shared" si="25"/>
        <v>115.5</v>
      </c>
      <c r="W77" s="192">
        <f t="shared" si="26"/>
        <v>115.5</v>
      </c>
      <c r="X77" s="193">
        <f t="shared" si="34"/>
        <v>840</v>
      </c>
      <c r="Y77" s="50">
        <f t="shared" si="27"/>
        <v>28.875</v>
      </c>
      <c r="Z77" s="158">
        <f t="shared" si="28"/>
        <v>1.5497115255601771E-2</v>
      </c>
      <c r="AA77" s="194">
        <f t="shared" si="29"/>
        <v>0.13750000000000001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0"/>
        <v>5</v>
      </c>
      <c r="H78" s="163"/>
      <c r="I78" s="164"/>
      <c r="J78" s="154">
        <f t="shared" si="31"/>
        <v>0</v>
      </c>
      <c r="K78" s="178"/>
      <c r="L78" s="151">
        <f t="shared" si="32"/>
        <v>2</v>
      </c>
      <c r="M78" s="163">
        <v>7</v>
      </c>
      <c r="N78" s="164">
        <v>0.2</v>
      </c>
      <c r="O78" s="154">
        <f t="shared" si="33"/>
        <v>0</v>
      </c>
      <c r="Q78" s="165">
        <f t="shared" si="35"/>
        <v>0</v>
      </c>
      <c r="R78" s="191">
        <f t="shared" si="23"/>
        <v>0</v>
      </c>
      <c r="S78" s="192">
        <f t="shared" si="24"/>
        <v>0</v>
      </c>
      <c r="U78" s="165">
        <f>(((+M78+(N78/16))-O78)-((+M77+(N77/16))-O77))*20</f>
        <v>55</v>
      </c>
      <c r="V78" s="156">
        <f t="shared" si="25"/>
        <v>220</v>
      </c>
      <c r="W78" s="192">
        <f t="shared" si="26"/>
        <v>220</v>
      </c>
      <c r="X78" s="193">
        <f t="shared" si="34"/>
        <v>840</v>
      </c>
      <c r="Y78" s="50">
        <f t="shared" si="27"/>
        <v>55</v>
      </c>
      <c r="Z78" s="158">
        <f t="shared" si="28"/>
        <v>2.9518314772574803E-2</v>
      </c>
      <c r="AA78" s="194">
        <f t="shared" si="29"/>
        <v>0.26190476190476192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0"/>
        <v>5</v>
      </c>
      <c r="H79" s="163"/>
      <c r="I79" s="164"/>
      <c r="J79" s="154">
        <f t="shared" si="31"/>
        <v>0</v>
      </c>
      <c r="K79" s="178"/>
      <c r="L79" s="151">
        <f t="shared" si="32"/>
        <v>2</v>
      </c>
      <c r="M79" s="163">
        <v>8</v>
      </c>
      <c r="N79" s="164">
        <v>10.3</v>
      </c>
      <c r="O79" s="154">
        <f t="shared" si="33"/>
        <v>0</v>
      </c>
      <c r="Q79" s="155">
        <f>((+H79+(I79/16))-J79)*20</f>
        <v>0</v>
      </c>
      <c r="R79" s="191">
        <f t="shared" si="23"/>
        <v>0</v>
      </c>
      <c r="S79" s="192">
        <f t="shared" si="24"/>
        <v>0</v>
      </c>
      <c r="U79" s="165">
        <f>(((+M79+(N79/16))-O79)-((+M78+(N78/16))-O78))*20</f>
        <v>32.625000000000014</v>
      </c>
      <c r="V79" s="156">
        <f t="shared" si="25"/>
        <v>130.50000000000006</v>
      </c>
      <c r="W79" s="192">
        <f t="shared" si="26"/>
        <v>130.50000000000006</v>
      </c>
      <c r="X79" s="193">
        <f t="shared" si="34"/>
        <v>840</v>
      </c>
      <c r="Y79" s="50">
        <f t="shared" si="27"/>
        <v>32.625000000000014</v>
      </c>
      <c r="Z79" s="158">
        <f t="shared" si="28"/>
        <v>1.7509727626459151E-2</v>
      </c>
      <c r="AA79" s="194">
        <f t="shared" si="29"/>
        <v>0.15535714285714294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0.20589024553870924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/>
      <c r="N81" s="164">
        <v>8.8000000000000007</v>
      </c>
      <c r="O81" s="154">
        <f>+O79</f>
        <v>0</v>
      </c>
      <c r="Q81" s="165">
        <f>((+H81+(I81/16))-J81)*20</f>
        <v>0</v>
      </c>
      <c r="R81" s="191">
        <f t="shared" ref="R81:R86" si="36">+Q81/E81</f>
        <v>0</v>
      </c>
      <c r="S81" s="192">
        <f t="shared" ref="S81:S86" si="37">((+Q81/+E81)*F81)/G81</f>
        <v>0</v>
      </c>
      <c r="U81" s="155">
        <f>((+M81+(N81/16))-O81)*20</f>
        <v>11</v>
      </c>
      <c r="V81" s="156">
        <f t="shared" ref="V81:V86" si="38">+U81/E81</f>
        <v>44</v>
      </c>
      <c r="W81" s="192">
        <f t="shared" ref="W81:W86" si="39">((+U81/+E81)*F81)/(L81+G81)</f>
        <v>47.142857142857146</v>
      </c>
      <c r="X81" s="193">
        <f>+X79</f>
        <v>840</v>
      </c>
      <c r="Y81" s="50">
        <f t="shared" ref="Y81:Y86" si="40">+U81+Q81</f>
        <v>11</v>
      </c>
      <c r="Z81" s="158">
        <f t="shared" ref="Z81:Z86" si="41">+Y81/TOTAL_MEASUED_INCOME</f>
        <v>5.9036629545149606E-3</v>
      </c>
      <c r="AA81" s="194">
        <f t="shared" ref="AA81:AA86" si="42">((+V81+R81)*F81)/(+X81*7)</f>
        <v>5.6122448979591837E-2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1</v>
      </c>
      <c r="N82" s="164">
        <v>5.7</v>
      </c>
      <c r="O82" s="154">
        <f>+O81</f>
        <v>0</v>
      </c>
      <c r="Q82" s="165">
        <f>(((+H82+(I82/16))-J82)-((+H81+(I81/16))-J81))*20</f>
        <v>0</v>
      </c>
      <c r="R82" s="191">
        <f t="shared" si="36"/>
        <v>0</v>
      </c>
      <c r="S82" s="192">
        <f t="shared" si="37"/>
        <v>0</v>
      </c>
      <c r="U82" s="165">
        <f>(((+M82+(N82/16))-O82)-((+M81+(N81/16))-O81))*20</f>
        <v>16.125</v>
      </c>
      <c r="V82" s="156">
        <f t="shared" si="38"/>
        <v>64.5</v>
      </c>
      <c r="W82" s="192">
        <f t="shared" si="39"/>
        <v>69.107142857142861</v>
      </c>
      <c r="X82" s="193">
        <f>+X81</f>
        <v>840</v>
      </c>
      <c r="Y82" s="50">
        <f t="shared" si="40"/>
        <v>16.125</v>
      </c>
      <c r="Z82" s="158">
        <f t="shared" si="41"/>
        <v>8.6542331946867033E-3</v>
      </c>
      <c r="AA82" s="194">
        <f t="shared" si="42"/>
        <v>8.2270408163265307E-2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2</v>
      </c>
      <c r="N83" s="164">
        <v>4.5</v>
      </c>
      <c r="O83" s="154">
        <f>+O82</f>
        <v>0</v>
      </c>
      <c r="Q83" s="165">
        <f>(((+H83+(I83/16))-J83)-((+H82+(I82/16))-J82))*20</f>
        <v>0</v>
      </c>
      <c r="R83" s="191">
        <f t="shared" si="36"/>
        <v>0</v>
      </c>
      <c r="S83" s="192">
        <f t="shared" si="37"/>
        <v>0</v>
      </c>
      <c r="U83" s="165">
        <f>(((+M83+(N83/16))-O83)-((+M82+(N82/16))-O82))*20</f>
        <v>18.5</v>
      </c>
      <c r="V83" s="156">
        <f t="shared" si="38"/>
        <v>74</v>
      </c>
      <c r="W83" s="192">
        <f t="shared" si="39"/>
        <v>79.285714285714292</v>
      </c>
      <c r="X83" s="193">
        <f>+X82</f>
        <v>840</v>
      </c>
      <c r="Y83" s="50">
        <f t="shared" si="40"/>
        <v>18.5</v>
      </c>
      <c r="Z83" s="158">
        <f t="shared" si="41"/>
        <v>9.9288876962297067E-3</v>
      </c>
      <c r="AA83" s="194">
        <f t="shared" si="42"/>
        <v>9.438775510204081E-2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3</v>
      </c>
      <c r="N84" s="164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36"/>
        <v>0</v>
      </c>
      <c r="S84" s="192">
        <f t="shared" si="37"/>
        <v>0</v>
      </c>
      <c r="U84" s="165">
        <f>(((+M84+(N84/16))-O84)-((+M83+(N83/16))-O83))*20</f>
        <v>19.5</v>
      </c>
      <c r="V84" s="156">
        <f t="shared" si="38"/>
        <v>78</v>
      </c>
      <c r="W84" s="192">
        <f t="shared" si="39"/>
        <v>83.571428571428569</v>
      </c>
      <c r="X84" s="193">
        <f>+X83</f>
        <v>840</v>
      </c>
      <c r="Y84" s="50">
        <f t="shared" si="40"/>
        <v>19.5</v>
      </c>
      <c r="Z84" s="158">
        <f t="shared" si="41"/>
        <v>1.0465584328458339E-2</v>
      </c>
      <c r="AA84" s="194">
        <f t="shared" si="42"/>
        <v>9.9489795918367346E-2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4</v>
      </c>
      <c r="N85" s="164">
        <v>8.6999999999999993</v>
      </c>
      <c r="O85" s="154">
        <f>+O84</f>
        <v>0</v>
      </c>
      <c r="Q85" s="165">
        <f>(((+H85+(I85/16))-J85)-((+H84+(I84/16))-J84))*20</f>
        <v>0</v>
      </c>
      <c r="R85" s="191">
        <f t="shared" si="36"/>
        <v>0</v>
      </c>
      <c r="S85" s="192">
        <f t="shared" si="37"/>
        <v>0</v>
      </c>
      <c r="U85" s="165">
        <f>(((+M85+(N85/16))-O85)-((+M84+(N84/16))-O84))*20</f>
        <v>25.75</v>
      </c>
      <c r="V85" s="156">
        <f t="shared" si="38"/>
        <v>103</v>
      </c>
      <c r="W85" s="192">
        <f t="shared" si="39"/>
        <v>110.35714285714286</v>
      </c>
      <c r="X85" s="193">
        <f>+X84</f>
        <v>840</v>
      </c>
      <c r="Y85" s="50">
        <f t="shared" si="40"/>
        <v>25.75</v>
      </c>
      <c r="Z85" s="158">
        <f t="shared" si="41"/>
        <v>1.3819938279887294E-2</v>
      </c>
      <c r="AA85" s="194">
        <f t="shared" si="42"/>
        <v>0.13137755102040816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8.6999999999999993</v>
      </c>
      <c r="O86" s="154">
        <f>+O85</f>
        <v>0</v>
      </c>
      <c r="Q86" s="165">
        <f>(((+H86+(I86/16))-J86)-((+H85+(I85/16))-J85))*20</f>
        <v>0</v>
      </c>
      <c r="R86" s="191">
        <f t="shared" si="36"/>
        <v>0</v>
      </c>
      <c r="S86" s="192">
        <f t="shared" si="37"/>
        <v>0</v>
      </c>
      <c r="U86" s="165">
        <f>(((+M86+(N86/16))-O86)-((+M85+(N85/16))-O85))*20</f>
        <v>20</v>
      </c>
      <c r="V86" s="156">
        <f t="shared" si="38"/>
        <v>80</v>
      </c>
      <c r="W86" s="192">
        <f t="shared" si="39"/>
        <v>85.714285714285708</v>
      </c>
      <c r="X86" s="193">
        <f>+X85</f>
        <v>840</v>
      </c>
      <c r="Y86" s="50">
        <f t="shared" si="40"/>
        <v>20</v>
      </c>
      <c r="Z86" s="158">
        <f t="shared" si="41"/>
        <v>1.0733932644572656E-2</v>
      </c>
      <c r="AA86" s="194">
        <f t="shared" si="42"/>
        <v>0.10204081632653061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5.9506239098349657E-2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5.6</v>
      </c>
      <c r="O88" s="154">
        <f>+O86</f>
        <v>0</v>
      </c>
      <c r="Q88" s="165">
        <f>((+H88+(I88/16))-J88)*20</f>
        <v>0</v>
      </c>
      <c r="R88" s="191">
        <f t="shared" ref="R88:R101" si="43">+Q88/E88</f>
        <v>0</v>
      </c>
      <c r="S88" s="192">
        <f t="shared" ref="S88:S101" si="44">((+Q88/+E88)*F88)/G88</f>
        <v>0</v>
      </c>
      <c r="U88" s="155">
        <f>((+M88+(N88/16))-O88)*20</f>
        <v>27</v>
      </c>
      <c r="V88" s="156">
        <f t="shared" ref="V88:V101" si="45">+U88/E88</f>
        <v>108</v>
      </c>
      <c r="W88" s="192">
        <f t="shared" ref="W88:W101" si="46">((+U88/+E88)*F88)/(L88+G88)</f>
        <v>108</v>
      </c>
      <c r="X88" s="193">
        <f>+X86</f>
        <v>840</v>
      </c>
      <c r="Y88" s="50">
        <f t="shared" ref="Y88:Y101" si="47">+U88+Q88</f>
        <v>27</v>
      </c>
      <c r="Z88" s="158">
        <f t="shared" ref="Z88:Z101" si="48">+Y88/TOTAL_MEASUED_INCOME</f>
        <v>1.4490809070173085E-2</v>
      </c>
      <c r="AA88" s="194">
        <f t="shared" ref="AA88:AA101" si="49">((+V88+R88)*F88)/(+X88*7)</f>
        <v>0.12857142857142856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0">+G88</f>
        <v>5</v>
      </c>
      <c r="H89" s="163"/>
      <c r="I89" s="164"/>
      <c r="J89" s="154">
        <f t="shared" ref="J89:J101" si="51">+J88</f>
        <v>0</v>
      </c>
      <c r="K89" s="178"/>
      <c r="L89" s="151">
        <f t="shared" ref="L89:L101" si="52">+L88</f>
        <v>2</v>
      </c>
      <c r="M89" s="163">
        <v>2</v>
      </c>
      <c r="N89" s="164">
        <v>0.7</v>
      </c>
      <c r="O89" s="154">
        <f t="shared" ref="O89:O101" si="53">+O88</f>
        <v>0</v>
      </c>
      <c r="Q89" s="165">
        <f t="shared" ref="Q89:Q101" si="54">(((+H89+(I89/16))-J89)-((+H88+(I88/16))-J88))*20</f>
        <v>0</v>
      </c>
      <c r="R89" s="191">
        <f t="shared" si="43"/>
        <v>0</v>
      </c>
      <c r="S89" s="192">
        <f t="shared" si="44"/>
        <v>0</v>
      </c>
      <c r="U89" s="165">
        <f t="shared" ref="U89:U98" si="55">(((+M89+(N89/16))-O89)-((+M88+(N88/16))-O88))*20</f>
        <v>13.875000000000002</v>
      </c>
      <c r="V89" s="156">
        <f t="shared" si="45"/>
        <v>55.500000000000007</v>
      </c>
      <c r="W89" s="192">
        <f t="shared" si="46"/>
        <v>55.500000000000007</v>
      </c>
      <c r="X89" s="193">
        <f t="shared" ref="X89:X101" si="56">+X88</f>
        <v>840</v>
      </c>
      <c r="Y89" s="50">
        <f t="shared" si="47"/>
        <v>13.875000000000002</v>
      </c>
      <c r="Z89" s="158">
        <f t="shared" si="48"/>
        <v>7.4466657721722809E-3</v>
      </c>
      <c r="AA89" s="194">
        <f t="shared" si="49"/>
        <v>6.6071428571428586E-2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0"/>
        <v>5</v>
      </c>
      <c r="H90" s="163"/>
      <c r="I90" s="164"/>
      <c r="J90" s="154">
        <f t="shared" si="51"/>
        <v>0</v>
      </c>
      <c r="K90" s="178"/>
      <c r="L90" s="151">
        <f t="shared" si="52"/>
        <v>2</v>
      </c>
      <c r="M90" s="163">
        <v>3</v>
      </c>
      <c r="N90" s="164">
        <v>7.8</v>
      </c>
      <c r="O90" s="154">
        <f t="shared" si="53"/>
        <v>0</v>
      </c>
      <c r="Q90" s="165">
        <f t="shared" si="54"/>
        <v>0</v>
      </c>
      <c r="R90" s="191">
        <f t="shared" si="43"/>
        <v>0</v>
      </c>
      <c r="S90" s="192">
        <f t="shared" si="44"/>
        <v>0</v>
      </c>
      <c r="U90" s="165">
        <f t="shared" si="55"/>
        <v>28.874999999999993</v>
      </c>
      <c r="V90" s="156">
        <f t="shared" si="45"/>
        <v>115.49999999999997</v>
      </c>
      <c r="W90" s="192">
        <f t="shared" si="46"/>
        <v>115.49999999999997</v>
      </c>
      <c r="X90" s="193">
        <f t="shared" si="56"/>
        <v>840</v>
      </c>
      <c r="Y90" s="50">
        <f t="shared" si="47"/>
        <v>28.874999999999993</v>
      </c>
      <c r="Z90" s="158">
        <f t="shared" si="48"/>
        <v>1.5497115255601768E-2</v>
      </c>
      <c r="AA90" s="194">
        <f t="shared" si="49"/>
        <v>0.13749999999999996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0"/>
        <v>5</v>
      </c>
      <c r="H91" s="163"/>
      <c r="I91" s="164"/>
      <c r="J91" s="154">
        <f t="shared" si="51"/>
        <v>0</v>
      </c>
      <c r="K91" s="178"/>
      <c r="L91" s="151">
        <f t="shared" si="52"/>
        <v>2</v>
      </c>
      <c r="M91" s="163">
        <v>3</v>
      </c>
      <c r="N91" s="164">
        <v>15.3</v>
      </c>
      <c r="O91" s="154">
        <f t="shared" si="53"/>
        <v>0</v>
      </c>
      <c r="Q91" s="165">
        <f t="shared" si="54"/>
        <v>0</v>
      </c>
      <c r="R91" s="191">
        <f t="shared" si="43"/>
        <v>0</v>
      </c>
      <c r="S91" s="192">
        <f t="shared" si="44"/>
        <v>0</v>
      </c>
      <c r="U91" s="165">
        <f t="shared" si="55"/>
        <v>9.375</v>
      </c>
      <c r="V91" s="156">
        <f t="shared" si="45"/>
        <v>37.5</v>
      </c>
      <c r="W91" s="192">
        <f t="shared" si="46"/>
        <v>37.5</v>
      </c>
      <c r="X91" s="193">
        <f t="shared" si="56"/>
        <v>840</v>
      </c>
      <c r="Y91" s="50">
        <f t="shared" si="47"/>
        <v>9.375</v>
      </c>
      <c r="Z91" s="158">
        <f t="shared" si="48"/>
        <v>5.0315309271434325E-3</v>
      </c>
      <c r="AA91" s="194">
        <f t="shared" si="49"/>
        <v>4.4642857142857144E-2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0"/>
        <v>5</v>
      </c>
      <c r="H92" s="163"/>
      <c r="I92" s="164"/>
      <c r="J92" s="154">
        <f t="shared" si="51"/>
        <v>0</v>
      </c>
      <c r="K92" s="178"/>
      <c r="L92" s="151">
        <f t="shared" si="52"/>
        <v>2</v>
      </c>
      <c r="M92" s="163">
        <v>5</v>
      </c>
      <c r="N92" s="164">
        <v>11.6</v>
      </c>
      <c r="O92" s="154">
        <f t="shared" si="53"/>
        <v>0</v>
      </c>
      <c r="Q92" s="165">
        <f t="shared" si="54"/>
        <v>0</v>
      </c>
      <c r="R92" s="191">
        <f t="shared" si="43"/>
        <v>0</v>
      </c>
      <c r="S92" s="192">
        <f t="shared" si="44"/>
        <v>0</v>
      </c>
      <c r="U92" s="165">
        <f t="shared" si="55"/>
        <v>35.375</v>
      </c>
      <c r="V92" s="156">
        <f t="shared" si="45"/>
        <v>141.5</v>
      </c>
      <c r="W92" s="192">
        <f t="shared" si="46"/>
        <v>141.5</v>
      </c>
      <c r="X92" s="193">
        <f t="shared" si="56"/>
        <v>840</v>
      </c>
      <c r="Y92" s="50">
        <f t="shared" si="47"/>
        <v>35.375</v>
      </c>
      <c r="Z92" s="158">
        <f t="shared" si="48"/>
        <v>1.8985643365087883E-2</v>
      </c>
      <c r="AA92" s="194">
        <f t="shared" si="49"/>
        <v>0.16845238095238096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0"/>
        <v>5</v>
      </c>
      <c r="H93" s="163"/>
      <c r="I93" s="164"/>
      <c r="J93" s="154">
        <f t="shared" si="51"/>
        <v>0</v>
      </c>
      <c r="K93" s="178"/>
      <c r="L93" s="151">
        <f t="shared" si="52"/>
        <v>2</v>
      </c>
      <c r="M93" s="163">
        <v>6</v>
      </c>
      <c r="N93" s="164">
        <v>9.1999999999999993</v>
      </c>
      <c r="O93" s="154">
        <f t="shared" si="53"/>
        <v>0</v>
      </c>
      <c r="Q93" s="165">
        <f t="shared" si="54"/>
        <v>0</v>
      </c>
      <c r="R93" s="191">
        <f t="shared" si="43"/>
        <v>0</v>
      </c>
      <c r="S93" s="192">
        <f t="shared" si="44"/>
        <v>0</v>
      </c>
      <c r="U93" s="165">
        <f t="shared" si="55"/>
        <v>17.000000000000011</v>
      </c>
      <c r="V93" s="156">
        <f t="shared" si="45"/>
        <v>68.000000000000043</v>
      </c>
      <c r="W93" s="192">
        <f t="shared" si="46"/>
        <v>68.000000000000043</v>
      </c>
      <c r="X93" s="193">
        <f t="shared" si="56"/>
        <v>840</v>
      </c>
      <c r="Y93" s="50">
        <f t="shared" si="47"/>
        <v>17.000000000000011</v>
      </c>
      <c r="Z93" s="158">
        <f t="shared" si="48"/>
        <v>9.123842747886763E-3</v>
      </c>
      <c r="AA93" s="194">
        <f t="shared" si="49"/>
        <v>8.0952380952380998E-2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0"/>
        <v>5</v>
      </c>
      <c r="H94" s="163"/>
      <c r="I94" s="164"/>
      <c r="J94" s="154">
        <f t="shared" si="51"/>
        <v>0</v>
      </c>
      <c r="K94" s="178"/>
      <c r="L94" s="151">
        <f t="shared" si="52"/>
        <v>2</v>
      </c>
      <c r="M94" s="163">
        <v>8</v>
      </c>
      <c r="N94" s="164">
        <v>1.4</v>
      </c>
      <c r="O94" s="154">
        <f t="shared" si="53"/>
        <v>0</v>
      </c>
      <c r="Q94" s="165">
        <f t="shared" si="54"/>
        <v>0</v>
      </c>
      <c r="R94" s="191">
        <f t="shared" si="43"/>
        <v>0</v>
      </c>
      <c r="S94" s="192">
        <f t="shared" si="44"/>
        <v>0</v>
      </c>
      <c r="U94" s="165">
        <f t="shared" si="55"/>
        <v>30.250000000000004</v>
      </c>
      <c r="V94" s="156">
        <f t="shared" si="45"/>
        <v>121.00000000000001</v>
      </c>
      <c r="W94" s="192">
        <f t="shared" si="46"/>
        <v>121.00000000000001</v>
      </c>
      <c r="X94" s="193">
        <f t="shared" si="56"/>
        <v>840</v>
      </c>
      <c r="Y94" s="50">
        <f t="shared" si="47"/>
        <v>30.250000000000004</v>
      </c>
      <c r="Z94" s="158">
        <f t="shared" si="48"/>
        <v>1.6235073124916143E-2</v>
      </c>
      <c r="AA94" s="194">
        <f t="shared" si="49"/>
        <v>0.14404761904761906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0"/>
        <v>5</v>
      </c>
      <c r="H95" s="163"/>
      <c r="I95" s="164"/>
      <c r="J95" s="154">
        <f t="shared" si="51"/>
        <v>0</v>
      </c>
      <c r="K95" s="178"/>
      <c r="L95" s="151">
        <f t="shared" si="52"/>
        <v>2</v>
      </c>
      <c r="M95" s="163">
        <v>9</v>
      </c>
      <c r="N95" s="164">
        <v>1.3</v>
      </c>
      <c r="O95" s="154">
        <f t="shared" si="53"/>
        <v>0</v>
      </c>
      <c r="Q95" s="165">
        <f t="shared" si="54"/>
        <v>0</v>
      </c>
      <c r="R95" s="191">
        <f t="shared" si="43"/>
        <v>0</v>
      </c>
      <c r="S95" s="192">
        <f t="shared" si="44"/>
        <v>0</v>
      </c>
      <c r="U95" s="165">
        <f t="shared" si="55"/>
        <v>19.875000000000007</v>
      </c>
      <c r="V95" s="156">
        <f t="shared" si="45"/>
        <v>79.500000000000028</v>
      </c>
      <c r="W95" s="192">
        <f t="shared" si="46"/>
        <v>79.500000000000028</v>
      </c>
      <c r="X95" s="193">
        <f t="shared" si="56"/>
        <v>840</v>
      </c>
      <c r="Y95" s="50">
        <f t="shared" si="47"/>
        <v>19.875000000000007</v>
      </c>
      <c r="Z95" s="158">
        <f t="shared" si="48"/>
        <v>1.066684556554408E-2</v>
      </c>
      <c r="AA95" s="194">
        <f t="shared" si="49"/>
        <v>9.4642857142857181E-2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0"/>
        <v>5</v>
      </c>
      <c r="H96" s="163"/>
      <c r="I96" s="164"/>
      <c r="J96" s="154">
        <f t="shared" si="51"/>
        <v>0</v>
      </c>
      <c r="K96" s="178"/>
      <c r="L96" s="151">
        <f t="shared" si="52"/>
        <v>2</v>
      </c>
      <c r="M96" s="163">
        <v>9</v>
      </c>
      <c r="N96" s="164">
        <v>7.1</v>
      </c>
      <c r="O96" s="154">
        <f t="shared" si="53"/>
        <v>0</v>
      </c>
      <c r="Q96" s="165">
        <f t="shared" si="54"/>
        <v>0</v>
      </c>
      <c r="R96" s="191">
        <f t="shared" si="43"/>
        <v>0</v>
      </c>
      <c r="S96" s="192">
        <f t="shared" si="44"/>
        <v>0</v>
      </c>
      <c r="U96" s="165">
        <f t="shared" si="55"/>
        <v>7.2499999999999787</v>
      </c>
      <c r="V96" s="156">
        <f t="shared" si="45"/>
        <v>28.999999999999915</v>
      </c>
      <c r="W96" s="192">
        <f t="shared" si="46"/>
        <v>31.071428571428481</v>
      </c>
      <c r="X96" s="193">
        <f t="shared" si="56"/>
        <v>840</v>
      </c>
      <c r="Y96" s="50">
        <f t="shared" si="47"/>
        <v>7.2499999999999787</v>
      </c>
      <c r="Z96" s="158">
        <f t="shared" si="48"/>
        <v>3.8910505836575759E-3</v>
      </c>
      <c r="AA96" s="194">
        <f t="shared" si="49"/>
        <v>3.6989795918367242E-2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0"/>
        <v>5</v>
      </c>
      <c r="H97" s="163"/>
      <c r="I97" s="164"/>
      <c r="J97" s="154">
        <f t="shared" si="51"/>
        <v>0</v>
      </c>
      <c r="K97" s="178"/>
      <c r="L97" s="151">
        <f t="shared" si="52"/>
        <v>2</v>
      </c>
      <c r="M97" s="163">
        <v>9</v>
      </c>
      <c r="N97" s="164">
        <v>15.1</v>
      </c>
      <c r="O97" s="154">
        <f t="shared" si="53"/>
        <v>0</v>
      </c>
      <c r="Q97" s="165">
        <f t="shared" si="54"/>
        <v>0</v>
      </c>
      <c r="R97" s="191">
        <f t="shared" si="43"/>
        <v>0</v>
      </c>
      <c r="S97" s="192">
        <f t="shared" si="44"/>
        <v>0</v>
      </c>
      <c r="U97" s="165">
        <f t="shared" si="55"/>
        <v>10</v>
      </c>
      <c r="V97" s="156">
        <f t="shared" si="45"/>
        <v>40</v>
      </c>
      <c r="W97" s="192">
        <f t="shared" si="46"/>
        <v>42.857142857142854</v>
      </c>
      <c r="X97" s="193">
        <f t="shared" si="56"/>
        <v>840</v>
      </c>
      <c r="Y97" s="50">
        <f t="shared" si="47"/>
        <v>10</v>
      </c>
      <c r="Z97" s="158">
        <f t="shared" si="48"/>
        <v>5.3669663222863278E-3</v>
      </c>
      <c r="AA97" s="194">
        <f t="shared" si="49"/>
        <v>5.1020408163265307E-2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0"/>
        <v>5</v>
      </c>
      <c r="H98" s="163"/>
      <c r="I98" s="164"/>
      <c r="J98" s="154">
        <f t="shared" si="51"/>
        <v>0</v>
      </c>
      <c r="K98" s="178"/>
      <c r="L98" s="151">
        <f t="shared" si="52"/>
        <v>2</v>
      </c>
      <c r="M98" s="163">
        <v>10</v>
      </c>
      <c r="N98" s="164">
        <v>9.6999999999999993</v>
      </c>
      <c r="O98" s="154">
        <f t="shared" si="53"/>
        <v>0</v>
      </c>
      <c r="Q98" s="165">
        <f t="shared" si="54"/>
        <v>0</v>
      </c>
      <c r="R98" s="191">
        <f t="shared" si="43"/>
        <v>0</v>
      </c>
      <c r="S98" s="192">
        <f t="shared" si="44"/>
        <v>0</v>
      </c>
      <c r="U98" s="165">
        <f t="shared" si="55"/>
        <v>13.249999999999993</v>
      </c>
      <c r="V98" s="156">
        <f t="shared" si="45"/>
        <v>52.999999999999972</v>
      </c>
      <c r="W98" s="192">
        <f t="shared" si="46"/>
        <v>56.785714285714256</v>
      </c>
      <c r="X98" s="193">
        <f t="shared" si="56"/>
        <v>840</v>
      </c>
      <c r="Y98" s="50">
        <f t="shared" si="47"/>
        <v>13.249999999999993</v>
      </c>
      <c r="Z98" s="158">
        <f t="shared" si="48"/>
        <v>7.1112303770293804E-3</v>
      </c>
      <c r="AA98" s="194">
        <f t="shared" si="49"/>
        <v>6.7602040816326495E-2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0"/>
        <v>5</v>
      </c>
      <c r="H99" s="163"/>
      <c r="I99" s="164"/>
      <c r="J99" s="154">
        <f t="shared" si="51"/>
        <v>0</v>
      </c>
      <c r="K99" s="178"/>
      <c r="L99" s="151">
        <f t="shared" si="52"/>
        <v>2</v>
      </c>
      <c r="M99" s="163"/>
      <c r="N99" s="164">
        <v>9.9</v>
      </c>
      <c r="O99" s="154">
        <f t="shared" si="53"/>
        <v>0</v>
      </c>
      <c r="Q99" s="165">
        <f t="shared" si="54"/>
        <v>0</v>
      </c>
      <c r="R99" s="191">
        <f t="shared" si="43"/>
        <v>0</v>
      </c>
      <c r="S99" s="192">
        <f t="shared" si="44"/>
        <v>0</v>
      </c>
      <c r="U99" s="155">
        <f>((+M99+(N99/16))-O99)*20</f>
        <v>12.375</v>
      </c>
      <c r="V99" s="156">
        <f t="shared" si="45"/>
        <v>49.5</v>
      </c>
      <c r="W99" s="192">
        <f t="shared" si="46"/>
        <v>53.035714285714285</v>
      </c>
      <c r="X99" s="193">
        <f t="shared" si="56"/>
        <v>840</v>
      </c>
      <c r="Y99" s="50">
        <f t="shared" si="47"/>
        <v>12.375</v>
      </c>
      <c r="Z99" s="158">
        <f t="shared" si="48"/>
        <v>6.6416208238293303E-3</v>
      </c>
      <c r="AA99" s="194">
        <f t="shared" si="49"/>
        <v>6.313775510204081E-2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0"/>
        <v>5</v>
      </c>
      <c r="H100" s="163"/>
      <c r="I100" s="164"/>
      <c r="J100" s="154">
        <f t="shared" si="51"/>
        <v>0</v>
      </c>
      <c r="K100" s="178"/>
      <c r="L100" s="151">
        <f t="shared" si="52"/>
        <v>2</v>
      </c>
      <c r="M100" s="163">
        <v>1</v>
      </c>
      <c r="N100" s="164">
        <v>4</v>
      </c>
      <c r="O100" s="154">
        <f t="shared" si="53"/>
        <v>0</v>
      </c>
      <c r="Q100" s="165">
        <f t="shared" si="54"/>
        <v>0</v>
      </c>
      <c r="R100" s="191">
        <f t="shared" si="43"/>
        <v>0</v>
      </c>
      <c r="S100" s="192">
        <f t="shared" si="44"/>
        <v>0</v>
      </c>
      <c r="U100" s="165">
        <f>(((+M100+(N100/16))-O100)-((+M99+(N99/16))-O99))*20</f>
        <v>12.625</v>
      </c>
      <c r="V100" s="156">
        <f t="shared" si="45"/>
        <v>50.5</v>
      </c>
      <c r="W100" s="192">
        <f t="shared" si="46"/>
        <v>54.107142857142854</v>
      </c>
      <c r="X100" s="193">
        <f t="shared" si="56"/>
        <v>840</v>
      </c>
      <c r="Y100" s="50">
        <f t="shared" si="47"/>
        <v>12.625</v>
      </c>
      <c r="Z100" s="158">
        <f t="shared" si="48"/>
        <v>6.7757949818864887E-3</v>
      </c>
      <c r="AA100" s="194">
        <f t="shared" si="49"/>
        <v>6.4413265306122444E-2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0"/>
        <v>5</v>
      </c>
      <c r="H101" s="173"/>
      <c r="I101" s="203"/>
      <c r="J101" s="154">
        <f t="shared" si="51"/>
        <v>0</v>
      </c>
      <c r="K101" s="178"/>
      <c r="L101" s="151">
        <f t="shared" si="52"/>
        <v>2</v>
      </c>
      <c r="M101" s="173">
        <v>1</v>
      </c>
      <c r="N101" s="203">
        <v>10.4</v>
      </c>
      <c r="O101" s="154">
        <f t="shared" si="53"/>
        <v>0</v>
      </c>
      <c r="Q101" s="165">
        <f t="shared" si="54"/>
        <v>0</v>
      </c>
      <c r="R101" s="191">
        <f t="shared" si="43"/>
        <v>0</v>
      </c>
      <c r="S101" s="191">
        <f t="shared" si="44"/>
        <v>0</v>
      </c>
      <c r="U101" s="165">
        <f>(((+M101+(N101/16))-O101)-((+M100+(N100/16))-O100))*20</f>
        <v>7.9999999999999982</v>
      </c>
      <c r="V101" s="156">
        <f t="shared" si="45"/>
        <v>31.999999999999993</v>
      </c>
      <c r="W101" s="192">
        <f t="shared" si="46"/>
        <v>34.285714285714278</v>
      </c>
      <c r="X101" s="193">
        <f t="shared" si="56"/>
        <v>840</v>
      </c>
      <c r="Y101" s="50">
        <f t="shared" si="47"/>
        <v>7.9999999999999982</v>
      </c>
      <c r="Z101" s="158">
        <f t="shared" si="48"/>
        <v>4.2935730578290612E-3</v>
      </c>
      <c r="AA101" s="194">
        <f t="shared" si="49"/>
        <v>4.0816326530612235E-2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21058.249999999996</v>
      </c>
      <c r="X102" s="64"/>
      <c r="Y102" s="211">
        <f>SUM(Y70:Y101)</f>
        <v>739.625</v>
      </c>
      <c r="Z102" s="212">
        <f>SUM(Y88:Y101)/TOTAL_MEASUED_INCOME</f>
        <v>0.1315577619750436</v>
      </c>
      <c r="AA102" s="123"/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40655</v>
      </c>
      <c r="R104" s="217"/>
      <c r="S104" s="19"/>
      <c r="T104" s="132" t="s">
        <v>195</v>
      </c>
      <c r="U104" s="216">
        <f>+D30</f>
        <v>40657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1861.7557506056173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233.625</v>
      </c>
      <c r="R106" s="222"/>
      <c r="T106" s="30" t="s">
        <v>199</v>
      </c>
      <c r="U106" s="226">
        <f>SUM(U33:U63)</f>
        <v>890</v>
      </c>
      <c r="V106" s="227"/>
      <c r="W106" s="45"/>
      <c r="X106" s="30" t="s">
        <v>199</v>
      </c>
      <c r="Y106" s="71">
        <f>+U106+Q106</f>
        <v>1123.625</v>
      </c>
      <c r="Z106" s="228">
        <f>+Y106/Y113</f>
        <v>0.60304575338789745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2028.934474394383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739.625</v>
      </c>
      <c r="V107" s="231"/>
      <c r="W107" s="45"/>
      <c r="X107" s="64" t="s">
        <v>201</v>
      </c>
      <c r="Y107" s="66">
        <f>+U107+Q107</f>
        <v>739.625</v>
      </c>
      <c r="Z107" s="232">
        <f>+Y107/Y113</f>
        <v>0.39695424661210249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1863.25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233.625</v>
      </c>
      <c r="R108" s="222"/>
      <c r="U108" s="235">
        <f>SUM(U106:U107)</f>
        <v>1629.625</v>
      </c>
      <c r="V108" s="227"/>
      <c r="W108" s="198"/>
      <c r="X108" s="193"/>
      <c r="Y108" s="236">
        <f>SUM(Y106:Y107)</f>
        <v>1863.25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1793.25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0.39695424661210249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0.23058593713389913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 t="s">
        <v>240</v>
      </c>
      <c r="U113" s="241"/>
      <c r="V113" s="222"/>
      <c r="X113" s="249" t="s">
        <v>239</v>
      </c>
      <c r="Y113" s="180">
        <f>+Y108+Y111</f>
        <v>1863.25</v>
      </c>
      <c r="AA113" s="238"/>
      <c r="AD113" s="28"/>
    </row>
    <row r="114" spans="1:35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S114" s="30">
        <f>+V114-O114</f>
        <v>357</v>
      </c>
      <c r="U114" s="98">
        <f>+S114*1</f>
        <v>357</v>
      </c>
      <c r="V114" s="251">
        <v>357</v>
      </c>
      <c r="W114" s="252">
        <f>+V114*1</f>
        <v>357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90</v>
      </c>
      <c r="U115" s="98">
        <f>+S115*5</f>
        <v>450</v>
      </c>
      <c r="V115" s="251">
        <v>90</v>
      </c>
      <c r="W115" s="252">
        <f>+V115*5</f>
        <v>450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23</v>
      </c>
      <c r="U116" s="98">
        <f>+S116*10</f>
        <v>230</v>
      </c>
      <c r="V116" s="251">
        <v>23</v>
      </c>
      <c r="W116" s="252">
        <f>+V116*10</f>
        <v>230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7</v>
      </c>
      <c r="F117" s="225">
        <f>+Y117</f>
        <v>13</v>
      </c>
      <c r="G117" s="257">
        <f>((+E117+(F117/16)))*20</f>
        <v>156.25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28</v>
      </c>
      <c r="T117" s="61"/>
      <c r="U117" s="259">
        <f>+S117*20</f>
        <v>560</v>
      </c>
      <c r="V117" s="251">
        <v>28</v>
      </c>
      <c r="W117" s="260">
        <f>+V117*20</f>
        <v>560</v>
      </c>
      <c r="X117" s="224">
        <v>9</v>
      </c>
      <c r="Y117" s="225">
        <v>13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156.25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1597</v>
      </c>
      <c r="V118" s="222"/>
      <c r="W118" s="45">
        <f>SUM(W114:W117)</f>
        <v>1597</v>
      </c>
      <c r="Y118" s="48">
        <f>((+X117+(Y117/16)))*20</f>
        <v>196.25</v>
      </c>
      <c r="Z118" s="239" t="s">
        <v>217</v>
      </c>
      <c r="AA118" s="253">
        <f>+Y118+Y116</f>
        <v>196.25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1597</v>
      </c>
      <c r="G119" s="37" t="s">
        <v>219</v>
      </c>
      <c r="H119" s="45"/>
      <c r="J119" s="220"/>
      <c r="M119" s="29"/>
      <c r="N119" s="30"/>
      <c r="O119" s="224"/>
      <c r="Q119" s="342" t="s">
        <v>210</v>
      </c>
      <c r="R119" s="222"/>
      <c r="S119" s="256"/>
      <c r="U119" s="98"/>
      <c r="V119" s="264"/>
      <c r="W119" s="252"/>
      <c r="Y119" s="205">
        <f>SUM(W114:W117)</f>
        <v>1597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1753.25</v>
      </c>
      <c r="G120" s="240" t="s">
        <v>213</v>
      </c>
      <c r="H120" s="51"/>
      <c r="I120" s="51"/>
      <c r="J120" s="266"/>
      <c r="M120" s="29"/>
      <c r="P120" s="30" t="s">
        <v>221</v>
      </c>
      <c r="Q120" s="341">
        <v>0</v>
      </c>
      <c r="R120" s="222"/>
      <c r="S120" s="30" t="s">
        <v>221</v>
      </c>
      <c r="T120" s="28" t="s">
        <v>222</v>
      </c>
      <c r="U120" s="267">
        <f>+U118*2</f>
        <v>3194</v>
      </c>
      <c r="V120" s="268"/>
      <c r="W120" s="199"/>
      <c r="Y120" s="269">
        <f>SUM(Y118:Y119)</f>
        <v>1793.25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 t="s">
        <v>238</v>
      </c>
      <c r="N121" s="272"/>
      <c r="O121" s="137"/>
      <c r="P121" s="137"/>
      <c r="Q121" s="339">
        <v>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37">
        <f>+U122-Q122</f>
        <v>1597</v>
      </c>
      <c r="N122" s="61"/>
      <c r="O122" s="61"/>
      <c r="P122" s="61"/>
      <c r="Q122" s="336">
        <f>+(+Q120+Q121)/4</f>
        <v>0</v>
      </c>
      <c r="R122" s="286"/>
      <c r="S122" s="61"/>
      <c r="T122" s="205"/>
      <c r="U122" s="335">
        <f>+U120/2</f>
        <v>1597</v>
      </c>
      <c r="V122" s="230"/>
      <c r="W122" s="287" t="s">
        <v>226</v>
      </c>
      <c r="X122" s="288"/>
      <c r="Y122" s="289">
        <f>-(+Y113-Y120)</f>
        <v>-70</v>
      </c>
      <c r="Z122" s="289"/>
      <c r="AA122" s="290"/>
      <c r="AB122" s="139">
        <f>+W118</f>
        <v>1597</v>
      </c>
      <c r="AC122" s="23">
        <v>1101</v>
      </c>
      <c r="AD122" s="175">
        <f>-300+AB122</f>
        <v>1297</v>
      </c>
      <c r="AF122" s="45">
        <f>+AC122-AD122</f>
        <v>-196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3</v>
      </c>
      <c r="M126" s="153">
        <v>6.3</v>
      </c>
      <c r="N126" s="12"/>
      <c r="O126" s="155">
        <f>((+L126+(M126/16))-J126)*20</f>
        <v>67.875</v>
      </c>
      <c r="P126" s="12"/>
      <c r="Q126" s="12"/>
      <c r="R126" s="304">
        <v>2</v>
      </c>
      <c r="S126" s="153">
        <v>0.4</v>
      </c>
      <c r="T126" s="154"/>
      <c r="U126" s="155">
        <f t="shared" ref="U126:U131" si="57">((+R126+(S126/16))-T126)*20</f>
        <v>40.5</v>
      </c>
      <c r="V126" s="45">
        <f t="shared" ref="V126:V131" si="58">+U126+O126</f>
        <v>108.375</v>
      </c>
      <c r="W126" s="30">
        <f t="shared" ref="W126:W131" si="59">+V126/20</f>
        <v>5.4187500000000002</v>
      </c>
      <c r="X126" s="110">
        <f t="shared" ref="X126:X131" si="60">CEILING(+W126,1)</f>
        <v>6</v>
      </c>
      <c r="Y126" s="31">
        <f t="shared" ref="Y126:Y131" si="61">+W126+1-X126</f>
        <v>0.41875000000000018</v>
      </c>
      <c r="Z126" s="334">
        <f t="shared" ref="Z126:Z131" si="62">CEILING(+W126,1)-1</f>
        <v>5</v>
      </c>
      <c r="AA126" s="333">
        <f t="shared" ref="AA126:AA131" si="63">+Y126/0.0625</f>
        <v>6.7000000000000028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95.750000000000014</v>
      </c>
      <c r="P127" s="12"/>
      <c r="Q127" s="12"/>
      <c r="R127" s="307">
        <v>1</v>
      </c>
      <c r="S127" s="153">
        <v>5.4</v>
      </c>
      <c r="T127" s="154"/>
      <c r="U127" s="155">
        <f t="shared" si="57"/>
        <v>26.75</v>
      </c>
      <c r="V127" s="45">
        <f t="shared" si="58"/>
        <v>122.50000000000001</v>
      </c>
      <c r="W127" s="30">
        <f t="shared" si="59"/>
        <v>6.1250000000000009</v>
      </c>
      <c r="X127" s="110">
        <f t="shared" si="60"/>
        <v>7</v>
      </c>
      <c r="Y127" s="31">
        <f t="shared" si="61"/>
        <v>0.12500000000000089</v>
      </c>
      <c r="Z127" s="334">
        <f t="shared" si="62"/>
        <v>6</v>
      </c>
      <c r="AA127" s="333">
        <f t="shared" si="63"/>
        <v>2.0000000000000142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7"/>
        <v>45.375</v>
      </c>
      <c r="V128" s="45">
        <f t="shared" si="58"/>
        <v>158.5</v>
      </c>
      <c r="W128" s="30">
        <f t="shared" si="59"/>
        <v>7.9249999999999998</v>
      </c>
      <c r="X128" s="110">
        <f t="shared" si="60"/>
        <v>8</v>
      </c>
      <c r="Y128" s="31">
        <f t="shared" si="61"/>
        <v>0.92500000000000071</v>
      </c>
      <c r="Z128" s="334">
        <f t="shared" si="62"/>
        <v>7</v>
      </c>
      <c r="AA128" s="333">
        <f t="shared" si="63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7"/>
        <v>14.625</v>
      </c>
      <c r="V129" s="45">
        <f t="shared" si="58"/>
        <v>64</v>
      </c>
      <c r="W129" s="30">
        <f t="shared" si="59"/>
        <v>3.2</v>
      </c>
      <c r="X129" s="110">
        <f t="shared" si="60"/>
        <v>4</v>
      </c>
      <c r="Y129" s="31">
        <f t="shared" si="61"/>
        <v>0.20000000000000018</v>
      </c>
      <c r="Z129" s="334">
        <f t="shared" si="62"/>
        <v>3</v>
      </c>
      <c r="AA129" s="333">
        <f t="shared" si="63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7"/>
        <v>0</v>
      </c>
      <c r="V130" s="45">
        <f t="shared" si="58"/>
        <v>51.875</v>
      </c>
      <c r="W130" s="30">
        <f t="shared" si="59"/>
        <v>2.59375</v>
      </c>
      <c r="X130" s="110">
        <f t="shared" si="60"/>
        <v>3</v>
      </c>
      <c r="Y130" s="31">
        <f t="shared" si="61"/>
        <v>0.59375</v>
      </c>
      <c r="Z130" s="334">
        <f t="shared" si="62"/>
        <v>2</v>
      </c>
      <c r="AA130" s="333">
        <f t="shared" si="63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7"/>
        <v>0</v>
      </c>
      <c r="V131" s="45">
        <f t="shared" si="58"/>
        <v>0</v>
      </c>
      <c r="W131" s="30">
        <f t="shared" si="59"/>
        <v>0</v>
      </c>
      <c r="X131" s="110">
        <f t="shared" si="60"/>
        <v>0</v>
      </c>
      <c r="Y131" s="31">
        <f t="shared" si="61"/>
        <v>1</v>
      </c>
      <c r="Z131" s="305">
        <f t="shared" si="62"/>
        <v>-1</v>
      </c>
      <c r="AA131" s="306">
        <f t="shared" si="63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8"/>
  <sheetViews>
    <sheetView zoomScale="75" zoomScaleNormal="75" workbookViewId="0">
      <selection activeCell="H36" sqref="H36:I37"/>
    </sheetView>
  </sheetViews>
  <sheetFormatPr defaultColWidth="20.7109375" defaultRowHeight="12.75" x14ac:dyDescent="0.2"/>
  <cols>
    <col min="1" max="1" width="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0.140625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2.5703125" style="4" bestFit="1" customWidth="1"/>
    <col min="29" max="29" width="10.85546875" style="5" bestFit="1" customWidth="1"/>
    <col min="30" max="30" width="7.7109375" style="4" bestFit="1" customWidth="1"/>
    <col min="31" max="31" width="7.28515625" style="4" customWidth="1"/>
    <col min="32" max="32" width="10" style="4" customWidth="1"/>
    <col min="33" max="33" width="11.140625" style="4" customWidth="1"/>
    <col min="34" max="34" width="13.7109375" style="4" customWidth="1"/>
    <col min="35" max="16384" width="20.7109375" style="4"/>
  </cols>
  <sheetData>
    <row r="1" spans="1:27" x14ac:dyDescent="0.2">
      <c r="A1" s="1">
        <f>+B1</f>
        <v>40358</v>
      </c>
      <c r="B1" s="2">
        <v>40358</v>
      </c>
      <c r="C1" s="3" t="s">
        <v>0</v>
      </c>
      <c r="L1" s="6"/>
    </row>
    <row r="2" spans="1:27" ht="13.5" x14ac:dyDescent="0.25">
      <c r="A2" s="1">
        <f>+B2</f>
        <v>40364</v>
      </c>
      <c r="B2" s="2">
        <v>40364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40363</v>
      </c>
      <c r="B3" s="2">
        <v>40363</v>
      </c>
      <c r="C3" s="4" t="s">
        <v>2</v>
      </c>
    </row>
    <row r="4" spans="1:27" ht="2.25" customHeight="1" thickBot="1" x14ac:dyDescent="0.25"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12"/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40364</v>
      </c>
      <c r="C7" s="34"/>
      <c r="E7" s="33">
        <f>+B1</f>
        <v>40358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12"/>
      <c r="X7" s="30" t="s">
        <v>24</v>
      </c>
      <c r="Y7" s="35">
        <f>+Y120</f>
        <v>1798.25</v>
      </c>
      <c r="Z7" s="31"/>
      <c r="AA7" s="36">
        <f>+Y113</f>
        <v>1753.5</v>
      </c>
    </row>
    <row r="8" spans="1:27" ht="13.5" x14ac:dyDescent="0.25">
      <c r="A8" s="37" t="s">
        <v>25</v>
      </c>
      <c r="B8" s="38">
        <v>13521.33</v>
      </c>
      <c r="C8" s="39">
        <f>+B7</f>
        <v>40364</v>
      </c>
      <c r="D8" s="3"/>
      <c r="E8" s="38">
        <v>13339.3</v>
      </c>
      <c r="F8" s="39">
        <f>+E7</f>
        <v>40358</v>
      </c>
      <c r="G8" s="40">
        <f>+B8-E8</f>
        <v>182.03000000000065</v>
      </c>
      <c r="H8" s="41"/>
      <c r="I8" s="42">
        <f>+C8-F8+1</f>
        <v>7</v>
      </c>
      <c r="J8" s="9">
        <f>+G8/I8</f>
        <v>26.004285714285807</v>
      </c>
      <c r="L8" s="10">
        <f>+(((((((+N8*+Q8)*+M8)+8)*0.02)+(((+N8*+Q8)*+M8)+8))*0.0147)+(((((+N8*+Q8)*+M8)+8)*0.02))+8)</f>
        <v>37.461383041324538</v>
      </c>
      <c r="M8" s="11">
        <f>+O27</f>
        <v>1.00987</v>
      </c>
      <c r="N8" s="12">
        <f>+J8*30.416</f>
        <v>790.94635428571712</v>
      </c>
      <c r="O8" s="13">
        <f>+((N8*+Q8)*M8)+L8</f>
        <v>871.35950961515255</v>
      </c>
      <c r="P8" s="12"/>
      <c r="Q8" s="11">
        <v>1.044</v>
      </c>
      <c r="R8" s="43">
        <f>+N8*Q8</f>
        <v>825.74799387428868</v>
      </c>
      <c r="S8" s="29" t="s">
        <v>26</v>
      </c>
      <c r="T8" s="12"/>
      <c r="U8" s="44">
        <f>+O8</f>
        <v>871.35950961515255</v>
      </c>
      <c r="V8" s="45"/>
      <c r="W8" s="12"/>
      <c r="X8" s="30"/>
      <c r="Y8" s="46">
        <f>+Y120*4.3333</f>
        <v>7792.3567250000006</v>
      </c>
      <c r="Z8" s="46"/>
      <c r="AA8" s="47">
        <f>+Y113*4.3333</f>
        <v>7598.4415500000005</v>
      </c>
    </row>
    <row r="9" spans="1:27" ht="13.5" x14ac:dyDescent="0.25">
      <c r="A9" s="37" t="s">
        <v>27</v>
      </c>
      <c r="B9" s="38">
        <v>80714</v>
      </c>
      <c r="C9" s="39">
        <f>+C10</f>
        <v>40364</v>
      </c>
      <c r="E9" s="38">
        <v>79844</v>
      </c>
      <c r="F9" s="39">
        <f>+F10</f>
        <v>40358</v>
      </c>
      <c r="G9" s="40">
        <f>+B9-E9</f>
        <v>870</v>
      </c>
      <c r="I9" s="42">
        <f>+C9-F9+1</f>
        <v>7</v>
      </c>
      <c r="J9" s="9">
        <f>+G9/I9</f>
        <v>124.28571428571429</v>
      </c>
      <c r="L9" s="10">
        <f>5+22.7</f>
        <v>27.7</v>
      </c>
      <c r="M9" s="11">
        <v>5.4100000000000002E-2</v>
      </c>
      <c r="N9" s="12">
        <f>+J9*30.416</f>
        <v>3780.2742857142857</v>
      </c>
      <c r="O9" s="13">
        <f>+L9+N9*M9</f>
        <v>232.21283885714286</v>
      </c>
      <c r="P9" s="12"/>
      <c r="Q9" s="4" t="s">
        <v>28</v>
      </c>
      <c r="S9" s="29" t="s">
        <v>29</v>
      </c>
      <c r="T9" s="12"/>
      <c r="U9" s="44">
        <f>+O9</f>
        <v>232.21283885714286</v>
      </c>
      <c r="V9" s="12">
        <v>314.472016</v>
      </c>
      <c r="W9" s="45">
        <f>+U9-V9</f>
        <v>-82.259177142857141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62994</v>
      </c>
      <c r="C10" s="39">
        <f>+C11</f>
        <v>40364</v>
      </c>
      <c r="E10" s="38">
        <v>62472</v>
      </c>
      <c r="F10" s="39">
        <f>+F11</f>
        <v>40358</v>
      </c>
      <c r="G10" s="40">
        <f>+B10-E10</f>
        <v>522</v>
      </c>
      <c r="I10" s="42">
        <f>+C10-F10+1</f>
        <v>7</v>
      </c>
      <c r="J10" s="9">
        <f>+G10/I10</f>
        <v>74.571428571428569</v>
      </c>
      <c r="L10" s="10">
        <v>22.7</v>
      </c>
      <c r="M10" s="4">
        <f>+M9</f>
        <v>5.4100000000000002E-2</v>
      </c>
      <c r="N10" s="12">
        <f>+J10*30.416</f>
        <v>2268.1645714285714</v>
      </c>
      <c r="O10" s="13">
        <f>+L10+N10*M10</f>
        <v>145.40770331428573</v>
      </c>
      <c r="P10" s="12"/>
      <c r="Q10" s="4" t="s">
        <v>31</v>
      </c>
      <c r="S10" s="29" t="s">
        <v>32</v>
      </c>
      <c r="T10" s="12"/>
      <c r="U10" s="49">
        <f>+O10</f>
        <v>145.40770331428573</v>
      </c>
      <c r="V10" s="12">
        <v>144.10239657142859</v>
      </c>
      <c r="W10" s="45">
        <f>+U10-V10</f>
        <v>1.305306742857141</v>
      </c>
      <c r="X10" s="30" t="s">
        <v>33</v>
      </c>
      <c r="Y10" s="50">
        <f>-U14</f>
        <v>-1609.7616201703863</v>
      </c>
      <c r="Z10" s="50"/>
      <c r="AA10" s="32"/>
    </row>
    <row r="11" spans="1:27" ht="13.5" x14ac:dyDescent="0.25">
      <c r="A11" s="37" t="s">
        <v>34</v>
      </c>
      <c r="B11" s="38">
        <v>6690.2106999999996</v>
      </c>
      <c r="C11" s="39">
        <f>+C8</f>
        <v>40364</v>
      </c>
      <c r="E11" s="38">
        <v>6660.0603600000004</v>
      </c>
      <c r="F11" s="39">
        <f>+F8</f>
        <v>40358</v>
      </c>
      <c r="G11" s="51">
        <f>+B11-E11</f>
        <v>30.150339999999233</v>
      </c>
      <c r="H11" s="4" t="s">
        <v>35</v>
      </c>
      <c r="I11" s="42">
        <f>+C11-F11+1</f>
        <v>7</v>
      </c>
      <c r="J11" s="9">
        <f>(+G11/I11)*10</f>
        <v>43.071914285713191</v>
      </c>
      <c r="L11" s="10">
        <v>19.010000000000002</v>
      </c>
      <c r="M11" s="4">
        <v>0.16900000000000001</v>
      </c>
      <c r="N11" s="52">
        <f>+J11*30.416</f>
        <v>1310.0753449142524</v>
      </c>
      <c r="O11" s="13">
        <f>+L11+N11*M11</f>
        <v>240.41273329050864</v>
      </c>
      <c r="P11" s="12"/>
      <c r="Q11" s="4" t="s">
        <v>36</v>
      </c>
      <c r="S11" s="29" t="s">
        <v>37</v>
      </c>
      <c r="T11" s="12"/>
      <c r="U11" s="49">
        <f>+O12+O11+5</f>
        <v>518.51503375523373</v>
      </c>
      <c r="V11" s="12"/>
      <c r="W11" s="12"/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24.45</v>
      </c>
      <c r="M12" s="4">
        <v>0.1898</v>
      </c>
      <c r="N12" s="54">
        <f>+N11</f>
        <v>1310.0753449142524</v>
      </c>
      <c r="O12" s="13">
        <f>+L12+N12*M12</f>
        <v>273.10230046472509</v>
      </c>
      <c r="P12" s="12"/>
      <c r="Q12" s="4" t="s">
        <v>40</v>
      </c>
      <c r="S12" s="29" t="s">
        <v>41</v>
      </c>
      <c r="T12" s="12"/>
      <c r="U12" s="44">
        <f>+U11+U10</f>
        <v>663.92273706951948</v>
      </c>
      <c r="V12" s="12"/>
      <c r="W12" s="12"/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137087</v>
      </c>
      <c r="C13" s="34">
        <f>+B7</f>
        <v>40364</v>
      </c>
      <c r="E13" s="55">
        <v>136416</v>
      </c>
      <c r="F13" s="34">
        <f>+E7</f>
        <v>40358</v>
      </c>
      <c r="G13" s="40">
        <f>+B13-E13</f>
        <v>671</v>
      </c>
      <c r="I13" s="42">
        <f>+C13-F13+1</f>
        <v>7</v>
      </c>
      <c r="J13" s="9">
        <f>(+G13/I13)</f>
        <v>95.857142857142861</v>
      </c>
      <c r="L13" s="56">
        <v>0</v>
      </c>
      <c r="M13" s="4">
        <f>+M10</f>
        <v>5.4100000000000002E-2</v>
      </c>
      <c r="N13" s="12">
        <f>+J13*30.416</f>
        <v>2915.5908571428572</v>
      </c>
      <c r="O13" s="13">
        <f>-(N13*M13)+L13</f>
        <v>-157.73346537142859</v>
      </c>
      <c r="P13" s="12"/>
      <c r="S13" s="29" t="s">
        <v>44</v>
      </c>
      <c r="T13" s="12"/>
      <c r="U13" s="57">
        <f>+O13</f>
        <v>-157.73346537142859</v>
      </c>
      <c r="V13" s="12"/>
      <c r="W13" s="12"/>
      <c r="X13" s="30" t="s">
        <v>45</v>
      </c>
      <c r="Y13" s="58">
        <v>-1500</v>
      </c>
      <c r="Z13" s="31"/>
      <c r="AA13" s="32"/>
    </row>
    <row r="14" spans="1:27" ht="13.5" thickBot="1" x14ac:dyDescent="0.25">
      <c r="A14" s="37"/>
      <c r="B14" s="59"/>
      <c r="C14" s="34"/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1609.7616201703863</v>
      </c>
      <c r="V14" s="63">
        <f>((+U14/Y8))</f>
        <v>0.2065821261757477</v>
      </c>
      <c r="W14" s="61"/>
      <c r="X14" s="64"/>
      <c r="Y14" s="65">
        <f>SUM(Y8:Y13)</f>
        <v>2302.5951048296138</v>
      </c>
      <c r="Z14" s="66"/>
      <c r="AA14" s="67">
        <f>+U14/AA8</f>
        <v>0.21185418214744131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635.23660714285711</v>
      </c>
      <c r="E18" s="78">
        <f>(+U26/4.333)/D18</f>
        <v>0.34342387435589466</v>
      </c>
      <c r="F18" s="79"/>
      <c r="G18" s="12" t="s">
        <v>68</v>
      </c>
      <c r="H18" s="80">
        <f>SUM(H19:H21)</f>
        <v>1</v>
      </c>
      <c r="I18" s="81">
        <f>+Z106</f>
        <v>0.6270316509837468</v>
      </c>
      <c r="J18" s="82">
        <f>+M18/M27</f>
        <v>0.63139386702363587</v>
      </c>
      <c r="L18" s="83">
        <f>+Y106</f>
        <v>1099.5</v>
      </c>
      <c r="M18" s="84">
        <f>SUM(M19:M21)</f>
        <v>881.34458324230661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0.56711152340593007</v>
      </c>
      <c r="C19" s="4">
        <v>12</v>
      </c>
      <c r="D19" s="88">
        <f>SUM(R46:R57)+SUM(V46:V57)</f>
        <v>360.25</v>
      </c>
      <c r="E19" s="89">
        <f>+F19/SUM(F19:F21)</f>
        <v>0.56711152340592996</v>
      </c>
      <c r="F19" s="90">
        <f>+D19*E18</f>
        <v>123.71845073671105</v>
      </c>
      <c r="G19" s="12" t="s">
        <v>70</v>
      </c>
      <c r="H19" s="91">
        <f>+L19/L18</f>
        <v>0.32764893133242384</v>
      </c>
      <c r="I19" s="92">
        <f>+L19/(+L18+L23)</f>
        <v>0.20544625035642999</v>
      </c>
      <c r="J19" s="93">
        <f>+M19/M27</f>
        <v>0.16945082820277638</v>
      </c>
      <c r="L19" s="74">
        <f>SUM(Y46:Y57)</f>
        <v>360.25</v>
      </c>
      <c r="M19" s="94">
        <f>+L19-F19</f>
        <v>236.53154926328895</v>
      </c>
      <c r="N19" s="4">
        <v>0.25</v>
      </c>
      <c r="O19" s="56">
        <f>+D19*N19</f>
        <v>90.0625</v>
      </c>
      <c r="Q19" s="56">
        <f>+O19*4.33333</f>
        <v>390.27053312499999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0.16813898083531867</v>
      </c>
      <c r="C20" s="4">
        <v>5</v>
      </c>
      <c r="D20" s="88">
        <f>SUM(R33:R37)+SUM(V33:V37)</f>
        <v>106.80803571428571</v>
      </c>
      <c r="E20" s="97">
        <f>+F20/SUM(F19:F21)</f>
        <v>0.16813898083531867</v>
      </c>
      <c r="F20" s="98">
        <f>+D20*E18</f>
        <v>36.680429437342767</v>
      </c>
      <c r="G20" s="12"/>
      <c r="H20" s="99">
        <f>+L20/L18</f>
        <v>0.38358344702137337</v>
      </c>
      <c r="I20" s="92">
        <f>+L20/(+L18+L23)</f>
        <v>0.2405189620758483</v>
      </c>
      <c r="J20" s="93">
        <f>+M20/M27</f>
        <v>0.27586323199066343</v>
      </c>
      <c r="L20" s="100">
        <f>SUM(Y33:Y37)</f>
        <v>421.75</v>
      </c>
      <c r="M20" s="94">
        <f>+L20-F20</f>
        <v>385.06957056265725</v>
      </c>
      <c r="N20" s="4">
        <v>0.25</v>
      </c>
      <c r="O20" s="56">
        <f>+D20*N20</f>
        <v>26.702008928571427</v>
      </c>
      <c r="Q20" s="56">
        <f>+O20*4.33333</f>
        <v>115.70861635044642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0.26474949575875129</v>
      </c>
      <c r="C21" s="4">
        <v>11</v>
      </c>
      <c r="D21" s="88">
        <f>SUM(R39:R44)+SUM(V39:V44)+SUM(R59:R63)+SUM(V59:V63)</f>
        <v>168.17857142857142</v>
      </c>
      <c r="E21" s="101">
        <f>+F21/SUM(F19:F21)</f>
        <v>0.26474949575875129</v>
      </c>
      <c r="F21" s="102">
        <f>+D21*E18</f>
        <v>57.756536583639566</v>
      </c>
      <c r="G21" s="12"/>
      <c r="H21" s="99">
        <f>+L21/L18</f>
        <v>0.28876762164620284</v>
      </c>
      <c r="I21" s="92">
        <f>+L21/(+L18+L23)</f>
        <v>0.18106643855146848</v>
      </c>
      <c r="J21" s="93">
        <f>+M21/M27</f>
        <v>0.18607980683019612</v>
      </c>
      <c r="L21" s="74">
        <f>SUM(Y39:Y44,Y59:Y63)</f>
        <v>317.5</v>
      </c>
      <c r="M21" s="94">
        <f>+L21-F21</f>
        <v>259.74346341636044</v>
      </c>
      <c r="N21" s="4">
        <v>0.25</v>
      </c>
      <c r="O21" s="103">
        <f>+D21*N21</f>
        <v>42.044642857142854</v>
      </c>
      <c r="Q21" s="103">
        <f>+O21*4.33333</f>
        <v>182.19331223214286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158.80915178571428</v>
      </c>
      <c r="Q22" s="74">
        <f>SUM(Q19:Q21)</f>
        <v>688.17246170758926</v>
      </c>
      <c r="S22" s="29" t="s">
        <v>79</v>
      </c>
      <c r="T22" s="12"/>
      <c r="U22" s="106">
        <f>+I18</f>
        <v>0.6270316509837468</v>
      </c>
      <c r="V22" s="106">
        <f>+I23</f>
        <v>0.3729683490162532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18312</v>
      </c>
      <c r="E23" s="108">
        <f>(+V26/4.333)/D23</f>
        <v>7.6164960080202324E-3</v>
      </c>
      <c r="F23" s="109">
        <f>+E23*G23</f>
        <v>5.3315472056141629E-2</v>
      </c>
      <c r="G23" s="110">
        <v>7</v>
      </c>
      <c r="H23" s="80">
        <f>SUM(H24:H26)</f>
        <v>1</v>
      </c>
      <c r="I23" s="81">
        <f>+Z107</f>
        <v>0.3729683490162532</v>
      </c>
      <c r="J23" s="82">
        <f>+M23/M27</f>
        <v>0.36860613297636419</v>
      </c>
      <c r="L23" s="83">
        <f>Y107</f>
        <v>654</v>
      </c>
      <c r="M23" s="84">
        <f>SUM(M24:M26)</f>
        <v>514.52672510113348</v>
      </c>
      <c r="S23" s="29" t="s">
        <v>26</v>
      </c>
      <c r="T23" s="12"/>
      <c r="U23" s="45">
        <f>+U8*U18</f>
        <v>348.54380384606105</v>
      </c>
      <c r="V23" s="45">
        <f>(U8*V18)</f>
        <v>505.38851557678845</v>
      </c>
      <c r="W23" s="45">
        <f>+U8*W18</f>
        <v>17.427190192303051</v>
      </c>
      <c r="X23" s="111">
        <f>SUM(U23:W23)</f>
        <v>871.35950961515266</v>
      </c>
      <c r="Y23" s="71"/>
      <c r="Z23" s="71"/>
      <c r="AA23" s="32"/>
    </row>
    <row r="24" spans="1:32" ht="13.5" x14ac:dyDescent="0.25">
      <c r="A24" s="37" t="s">
        <v>81</v>
      </c>
      <c r="B24" s="87">
        <f>+D24/+SUM(D24:D26)</f>
        <v>0.51853975535168195</v>
      </c>
      <c r="C24" s="4">
        <v>10</v>
      </c>
      <c r="D24" s="112">
        <f>(SUM(R70:R79)*F70)+(SUM(V70:V79)*F70)</f>
        <v>9495.5</v>
      </c>
      <c r="E24" s="113">
        <f>+F24/SUM(F24:F26)</f>
        <v>0.51853975535168195</v>
      </c>
      <c r="F24" s="90">
        <f>+D24*E23</f>
        <v>72.322437844156113</v>
      </c>
      <c r="G24" s="12"/>
      <c r="H24" s="99">
        <f>+L24/L23</f>
        <v>0.51853975535168195</v>
      </c>
      <c r="I24" s="114">
        <f>+L24/(L18+L23)</f>
        <v>0.19339891645280866</v>
      </c>
      <c r="J24" s="93">
        <f>+M24/M27</f>
        <v>0.19113693401469342</v>
      </c>
      <c r="L24" s="56">
        <f>SUM(Y70:Y79)</f>
        <v>339.125</v>
      </c>
      <c r="M24" s="94">
        <f>+L24-F24</f>
        <v>266.80256215584387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497.77443240502436</v>
      </c>
      <c r="V24" s="45">
        <f>((+U11+U12)*V19)</f>
        <v>0</v>
      </c>
      <c r="W24" s="45">
        <f>(+U11)*W19</f>
        <v>20.740601350209349</v>
      </c>
      <c r="X24" s="111">
        <f>SUM(U24:W24)</f>
        <v>518.51503375523373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0.13780581039755352</v>
      </c>
      <c r="C25" s="4">
        <v>6</v>
      </c>
      <c r="D25" s="112">
        <f>(SUM(R81:R86)*F81)+(SUM(V81:V86)*F71)</f>
        <v>2523.5</v>
      </c>
      <c r="E25" s="97">
        <f>+F25/SUM(F24:F26)</f>
        <v>0.13780581039755352</v>
      </c>
      <c r="F25" s="98">
        <f>+D25*E23</f>
        <v>19.220227676239055</v>
      </c>
      <c r="H25" s="99">
        <f>+L25/L23</f>
        <v>0.13780581039755352</v>
      </c>
      <c r="I25" s="114">
        <f>+L25/(+L18+L23)</f>
        <v>5.1397205588822353E-2</v>
      </c>
      <c r="J25" s="93">
        <f>+M25/M27</f>
        <v>5.0796066872316241E-2</v>
      </c>
      <c r="K25" s="12"/>
      <c r="L25" s="56">
        <f>SUM(Y81:Y86)</f>
        <v>90.125</v>
      </c>
      <c r="M25" s="94">
        <f>+L25-F25</f>
        <v>70.904772323760938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98.949184560000006</v>
      </c>
      <c r="V25" s="115">
        <f>(+U9+U10+U13)*V20</f>
        <v>98.949184560000006</v>
      </c>
      <c r="W25" s="115">
        <f>(+U9+U10+U13)*W20</f>
        <v>21.988707680000005</v>
      </c>
      <c r="X25" s="111">
        <f>SUM(U25:W25)</f>
        <v>219.88707680000002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0.34365443425076458</v>
      </c>
      <c r="C26" s="4">
        <v>10</v>
      </c>
      <c r="D26" s="112">
        <f>(SUM(R88:R101)*F88)+(SUM(V88:V101)*F72)</f>
        <v>6293.0000000000009</v>
      </c>
      <c r="E26" s="101">
        <f>+F26/SUM(F24:F26)</f>
        <v>0.34365443425076458</v>
      </c>
      <c r="F26" s="102">
        <f>+D26*E23</f>
        <v>47.930609378471331</v>
      </c>
      <c r="H26" s="99">
        <f>+L26/L23</f>
        <v>0.34365443425076458</v>
      </c>
      <c r="I26" s="114">
        <f>+L26/(+L18+L23)</f>
        <v>0.12817222697462219</v>
      </c>
      <c r="J26" s="93">
        <f>+M26/M27</f>
        <v>0.12667313208935452</v>
      </c>
      <c r="K26" s="116"/>
      <c r="L26" s="103">
        <f>SUM(Y88:Y101)</f>
        <v>224.75000000000003</v>
      </c>
      <c r="M26" s="117">
        <f>+L26-F26</f>
        <v>176.8193906215287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945.26742081108546</v>
      </c>
      <c r="V26" s="45">
        <f>SUM(V23:V25)</f>
        <v>604.3377001367885</v>
      </c>
      <c r="W26" s="45">
        <f>SUM(W23:W25)</f>
        <v>60.156499222512409</v>
      </c>
      <c r="X26" s="111">
        <f>SUM(U26:W26)</f>
        <v>1609.7616201703863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1753.5</v>
      </c>
      <c r="M27" s="122">
        <f>+M18+M23</f>
        <v>1395.87130834344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C28" s="27" t="s">
        <v>91</v>
      </c>
      <c r="AD28" s="27" t="s">
        <v>54</v>
      </c>
      <c r="AE28" s="4" t="s">
        <v>92</v>
      </c>
      <c r="AF28" s="4" t="s">
        <v>93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 t="s">
        <v>100</v>
      </c>
      <c r="AD29" s="23" t="s">
        <v>101</v>
      </c>
      <c r="AE29" s="4" t="s">
        <v>102</v>
      </c>
      <c r="AF29" s="4" t="s">
        <v>103</v>
      </c>
    </row>
    <row r="30" spans="1:32" ht="15.75" x14ac:dyDescent="0.25">
      <c r="A30" s="135">
        <f>+B1</f>
        <v>40358</v>
      </c>
      <c r="B30" s="12"/>
      <c r="C30" s="136">
        <f>+B3</f>
        <v>40363</v>
      </c>
      <c r="D30" s="136">
        <f>+B2</f>
        <v>40364</v>
      </c>
      <c r="E30" s="137">
        <f>+C30-A30+1</f>
        <v>6</v>
      </c>
      <c r="F30" s="138">
        <f>+D30-C30</f>
        <v>1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8"/>
      <c r="AD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8"/>
      <c r="AD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8"/>
      <c r="AD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6</v>
      </c>
      <c r="H33" s="152">
        <v>2</v>
      </c>
      <c r="I33" s="153">
        <v>12.7</v>
      </c>
      <c r="J33" s="154">
        <f>+J31</f>
        <v>0</v>
      </c>
      <c r="K33" s="12"/>
      <c r="L33" s="151">
        <f>+F30</f>
        <v>1</v>
      </c>
      <c r="M33" s="152">
        <v>1</v>
      </c>
      <c r="N33" s="153">
        <v>12.9</v>
      </c>
      <c r="O33" s="154">
        <f>+O31</f>
        <v>0</v>
      </c>
      <c r="P33" s="12"/>
      <c r="Q33" s="155">
        <f>((+H33+(I33/16))-J33)*20</f>
        <v>55.875</v>
      </c>
      <c r="R33" s="156">
        <f>+Q33/E33</f>
        <v>13.96875</v>
      </c>
      <c r="S33" s="157">
        <f>(+R33/C33)/G33</f>
        <v>2.328125</v>
      </c>
      <c r="T33" s="12"/>
      <c r="U33" s="155">
        <f>((+M33+(N33/16))-O33)*20</f>
        <v>36.125</v>
      </c>
      <c r="V33" s="156">
        <f>+U33/E33</f>
        <v>9.03125</v>
      </c>
      <c r="W33" s="157">
        <f>(+V33/C33)/L33</f>
        <v>9.03125</v>
      </c>
      <c r="X33" s="30" t="s">
        <v>127</v>
      </c>
      <c r="Y33" s="50">
        <f>+U33+Q33</f>
        <v>92</v>
      </c>
      <c r="Z33" s="158">
        <f>+Y33/Y113</f>
        <v>5.2466495580268037E-2</v>
      </c>
      <c r="AA33" s="159">
        <f>((+R33+V33)/C33)/(+G33+L33)</f>
        <v>3.2857142857142856</v>
      </c>
      <c r="AC33" s="5">
        <v>50</v>
      </c>
      <c r="AD33" s="160">
        <f>+E33/AC33</f>
        <v>0.08</v>
      </c>
      <c r="AE33" s="11">
        <v>4.5</v>
      </c>
      <c r="AF33" s="161">
        <f>+AE33/AC33</f>
        <v>0.09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6</v>
      </c>
      <c r="H34" s="163">
        <v>7</v>
      </c>
      <c r="I34" s="164">
        <v>12.5</v>
      </c>
      <c r="J34" s="154">
        <f>+J33</f>
        <v>0</v>
      </c>
      <c r="K34" s="12"/>
      <c r="L34" s="151">
        <f>+L33</f>
        <v>1</v>
      </c>
      <c r="M34" s="163">
        <v>3</v>
      </c>
      <c r="N34" s="164">
        <v>12.9</v>
      </c>
      <c r="O34" s="154">
        <f>+O33</f>
        <v>0</v>
      </c>
      <c r="P34" s="12"/>
      <c r="Q34" s="165">
        <f>(((+H34+(I34/16))-J34)-((+H33+(I33/16))-J33))*20</f>
        <v>99.75</v>
      </c>
      <c r="R34" s="156">
        <f>+Q34/E34</f>
        <v>24.9375</v>
      </c>
      <c r="S34" s="157">
        <f>(+R34/C34)/G34</f>
        <v>4.15625</v>
      </c>
      <c r="T34" s="12"/>
      <c r="U34" s="165">
        <f>(((+M34+(N34/16))-O34)-((+M33+(N33/16))-O33))*20</f>
        <v>40</v>
      </c>
      <c r="V34" s="156">
        <f>+U34/E34</f>
        <v>10</v>
      </c>
      <c r="W34" s="157">
        <f>(+V34/C34)/L34</f>
        <v>10</v>
      </c>
      <c r="X34" s="30" t="s">
        <v>129</v>
      </c>
      <c r="Y34" s="50">
        <f>+U34+Q34</f>
        <v>139.75</v>
      </c>
      <c r="Z34" s="158">
        <f>+Y34/TOTAL_MEASUED_INCOME</f>
        <v>7.9697747362418025E-2</v>
      </c>
      <c r="AA34" s="159">
        <f>((+R34+V34)/C34)/(+G34+L34)</f>
        <v>4.9910714285714288</v>
      </c>
      <c r="AC34" s="5">
        <v>50</v>
      </c>
      <c r="AD34" s="160">
        <f>+E34/AC34</f>
        <v>0.08</v>
      </c>
      <c r="AE34" s="4">
        <v>4.25</v>
      </c>
      <c r="AF34" s="161">
        <f>+AE34/AC34</f>
        <v>8.5000000000000006E-2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6</v>
      </c>
      <c r="H35" s="163">
        <v>4</v>
      </c>
      <c r="I35" s="164">
        <v>9.4</v>
      </c>
      <c r="J35" s="154">
        <f>+J34</f>
        <v>0</v>
      </c>
      <c r="K35" s="12"/>
      <c r="L35" s="151">
        <f>+L34</f>
        <v>1</v>
      </c>
      <c r="M35" s="163">
        <v>4</v>
      </c>
      <c r="N35" s="164">
        <v>12.9</v>
      </c>
      <c r="O35" s="154">
        <f>+O34</f>
        <v>0</v>
      </c>
      <c r="P35" s="12"/>
      <c r="Q35" s="155">
        <f>((+H35+(I35/16))-J35)*20</f>
        <v>91.75</v>
      </c>
      <c r="R35" s="156">
        <f>+Q35/E35</f>
        <v>22.9375</v>
      </c>
      <c r="S35" s="157">
        <f>(+R35/C35)/G35</f>
        <v>3.8229166666666665</v>
      </c>
      <c r="T35" s="12"/>
      <c r="U35" s="165">
        <f>(((+M35+(N35/16))-O35)-((+M34+(N34/16))-O34))*20</f>
        <v>20.000000000000007</v>
      </c>
      <c r="V35" s="156">
        <f>+U35/E35</f>
        <v>5.0000000000000018</v>
      </c>
      <c r="W35" s="157">
        <f>(+V35/C35)/L35</f>
        <v>5.0000000000000018</v>
      </c>
      <c r="X35" s="30" t="s">
        <v>132</v>
      </c>
      <c r="Y35" s="50">
        <f>+U35+Q35</f>
        <v>111.75</v>
      </c>
      <c r="Z35" s="158">
        <f>+Y35/TOTAL_MEASUED_INCOME</f>
        <v>6.3729683490162531E-2</v>
      </c>
      <c r="AA35" s="159">
        <f>((+R35+V35)/C35)/(+G35+L35)</f>
        <v>3.9910714285714284</v>
      </c>
      <c r="AC35" s="5">
        <v>50</v>
      </c>
      <c r="AD35" s="160">
        <f>+E35/AC35</f>
        <v>0.08</v>
      </c>
      <c r="AE35" s="4">
        <f>+AE34</f>
        <v>4.25</v>
      </c>
      <c r="AF35" s="161">
        <f>+AE35/AC35</f>
        <v>8.5000000000000006E-2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6</v>
      </c>
      <c r="H36" s="163"/>
      <c r="I36" s="164"/>
      <c r="J36" s="154">
        <f>+J35</f>
        <v>0</v>
      </c>
      <c r="K36" s="12"/>
      <c r="L36" s="151">
        <f>+L35</f>
        <v>1</v>
      </c>
      <c r="M36" s="163">
        <v>6</v>
      </c>
      <c r="N36" s="164">
        <v>11.6</v>
      </c>
      <c r="O36" s="154">
        <f>+O35</f>
        <v>0</v>
      </c>
      <c r="P36" s="12"/>
      <c r="Q36" s="155">
        <f>((+H36+(I36/16))-J36)*20</f>
        <v>0</v>
      </c>
      <c r="R36" s="156">
        <f>+Q36/E36</f>
        <v>0</v>
      </c>
      <c r="S36" s="157">
        <f>(+R36/C36)/G36</f>
        <v>0</v>
      </c>
      <c r="T36" s="12"/>
      <c r="U36" s="165">
        <f>(((+M36+(N36/16))-O36)-((+M35+(N35/16))-O35))*20</f>
        <v>38.374999999999986</v>
      </c>
      <c r="V36" s="156">
        <f>+U36/E36</f>
        <v>10.96428571428571</v>
      </c>
      <c r="W36" s="157">
        <f>(+V36/C36)/L36</f>
        <v>10.96428571428571</v>
      </c>
      <c r="X36" s="30" t="s">
        <v>135</v>
      </c>
      <c r="Y36" s="50">
        <f>+U36+Q36</f>
        <v>38.374999999999986</v>
      </c>
      <c r="Z36" s="158">
        <f>+Y36/TOTAL_MEASUED_INCOME</f>
        <v>2.1884801824921578E-2</v>
      </c>
      <c r="AA36" s="159">
        <f>((+R36+V36)/C36)/(+G36+L36)</f>
        <v>1.5663265306122442</v>
      </c>
      <c r="AC36" s="5">
        <v>40</v>
      </c>
      <c r="AD36" s="160">
        <f>+E36/AC36</f>
        <v>8.7499999999999994E-2</v>
      </c>
      <c r="AE36" s="4">
        <v>3.75</v>
      </c>
      <c r="AF36" s="161">
        <f>+AE36/AC36</f>
        <v>9.375E-2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6</v>
      </c>
      <c r="H37" s="163"/>
      <c r="I37" s="164"/>
      <c r="J37" s="154">
        <f>+J36</f>
        <v>0</v>
      </c>
      <c r="K37" s="12"/>
      <c r="L37" s="151">
        <f>+L36</f>
        <v>1</v>
      </c>
      <c r="M37" s="163">
        <v>1</v>
      </c>
      <c r="N37" s="164">
        <v>15.9</v>
      </c>
      <c r="O37" s="154">
        <f>+O36</f>
        <v>0</v>
      </c>
      <c r="P37" s="12"/>
      <c r="Q37" s="155">
        <f>((+H37+(I37/16))-J37)*20</f>
        <v>0</v>
      </c>
      <c r="R37" s="156">
        <f>+Q37/E37</f>
        <v>0</v>
      </c>
      <c r="S37" s="157">
        <f>(+R37/C37)/G37</f>
        <v>0</v>
      </c>
      <c r="T37" s="12"/>
      <c r="U37" s="155">
        <f>((+M37+(N37/16))-O37)*20</f>
        <v>39.875</v>
      </c>
      <c r="V37" s="156">
        <f>+U37/E37</f>
        <v>9.96875</v>
      </c>
      <c r="W37" s="157">
        <f>(+V37/C37)/L37</f>
        <v>9.96875</v>
      </c>
      <c r="X37" s="30" t="s">
        <v>129</v>
      </c>
      <c r="Y37" s="50">
        <f>+U37+Q37</f>
        <v>39.875</v>
      </c>
      <c r="Z37" s="158">
        <f>+Y37/TOTAL_MEASUED_INCOME</f>
        <v>2.2740233818078128E-2</v>
      </c>
      <c r="AA37" s="159">
        <f>((+R37+V37)/C37)/(+G37+L37)</f>
        <v>1.4241071428571428</v>
      </c>
      <c r="AC37" s="5">
        <v>50</v>
      </c>
      <c r="AD37" s="160">
        <f>+E37/AC37</f>
        <v>0.08</v>
      </c>
      <c r="AE37" s="4">
        <f>+AE36</f>
        <v>3.75</v>
      </c>
      <c r="AF37" s="161">
        <f>+AE37/AC37</f>
        <v>7.4999999999999997E-2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2.0614583333333334</v>
      </c>
      <c r="T38" s="12"/>
      <c r="U38" s="165"/>
      <c r="V38" s="156"/>
      <c r="W38" s="166">
        <f>AVERAGE(W33:W37)</f>
        <v>8.992857142857142</v>
      </c>
      <c r="X38" s="30"/>
      <c r="Y38" s="50"/>
      <c r="Z38" s="167">
        <f>SUM(Y33:Y37)/TOTAL_MEASUED_INCOME</f>
        <v>0.2405189620758483</v>
      </c>
      <c r="AA38" s="168">
        <f>AVERAGE(AA33:AA37)</f>
        <v>3.0516581632653059</v>
      </c>
      <c r="AB38" s="74">
        <f>SUM(U33:U37)</f>
        <v>174.375</v>
      </c>
      <c r="AD38" s="160"/>
      <c r="AF38" s="161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6</v>
      </c>
      <c r="H39" s="163"/>
      <c r="I39" s="164"/>
      <c r="J39" s="154">
        <f>+J37</f>
        <v>0</v>
      </c>
      <c r="K39" s="12"/>
      <c r="L39" s="151">
        <f>+L37</f>
        <v>1</v>
      </c>
      <c r="M39" s="163">
        <v>1</v>
      </c>
      <c r="N39" s="164">
        <v>11.1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33.875</v>
      </c>
      <c r="V39" s="156">
        <f t="shared" ref="V39:V44" si="3">+U39/E39</f>
        <v>16.9375</v>
      </c>
      <c r="W39" s="157">
        <f t="shared" ref="W39:W44" si="4">(+V39/C39)/L39</f>
        <v>16.9375</v>
      </c>
      <c r="X39" s="30" t="s">
        <v>139</v>
      </c>
      <c r="Y39" s="50">
        <f t="shared" ref="Y39:Y44" si="5">+U39+Q39</f>
        <v>33.875</v>
      </c>
      <c r="Z39" s="158">
        <f t="shared" ref="Z39:Z44" si="6">+Y39/TOTAL_MEASUED_INCOME</f>
        <v>1.9318505845451955E-2</v>
      </c>
      <c r="AA39" s="159">
        <f t="shared" ref="AA39:AA44" si="7">((+R39+V39)/C39)/(+G39+L39)</f>
        <v>2.4196428571428572</v>
      </c>
      <c r="AC39" s="5">
        <v>25</v>
      </c>
      <c r="AD39" s="160">
        <f t="shared" ref="AD39:AD44" si="8">+E39/AC39</f>
        <v>0.08</v>
      </c>
      <c r="AE39" s="11">
        <v>2.25</v>
      </c>
      <c r="AF39" s="161">
        <f t="shared" ref="AF39:AF44" si="9">+AE39/AC39</f>
        <v>0.09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6</v>
      </c>
      <c r="H40" s="163"/>
      <c r="I40" s="164"/>
      <c r="J40" s="154">
        <f>+J39</f>
        <v>0</v>
      </c>
      <c r="K40" s="12"/>
      <c r="L40" s="151">
        <f>+L39</f>
        <v>1</v>
      </c>
      <c r="M40" s="163">
        <v>3</v>
      </c>
      <c r="N40" s="164">
        <v>3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29.875</v>
      </c>
      <c r="V40" s="156">
        <f t="shared" si="3"/>
        <v>14.9375</v>
      </c>
      <c r="W40" s="157">
        <f t="shared" si="4"/>
        <v>14.9375</v>
      </c>
      <c r="X40" s="30" t="s">
        <v>141</v>
      </c>
      <c r="Y40" s="50">
        <f t="shared" si="5"/>
        <v>29.875</v>
      </c>
      <c r="Z40" s="158">
        <f t="shared" si="6"/>
        <v>1.7037353863701168E-2</v>
      </c>
      <c r="AA40" s="159">
        <f t="shared" si="7"/>
        <v>2.1339285714285716</v>
      </c>
      <c r="AC40" s="5">
        <v>25</v>
      </c>
      <c r="AD40" s="160">
        <f t="shared" si="8"/>
        <v>0.08</v>
      </c>
      <c r="AE40" s="4">
        <f>+AE39</f>
        <v>2.25</v>
      </c>
      <c r="AF40" s="161">
        <f t="shared" si="9"/>
        <v>0.09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6</v>
      </c>
      <c r="H41" s="163"/>
      <c r="I41" s="164"/>
      <c r="J41" s="154">
        <f>+J40</f>
        <v>0</v>
      </c>
      <c r="K41" s="12"/>
      <c r="L41" s="151">
        <f>+L40</f>
        <v>1</v>
      </c>
      <c r="M41" s="163">
        <v>1</v>
      </c>
      <c r="N41" s="164">
        <v>0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20</v>
      </c>
      <c r="V41" s="156">
        <f t="shared" si="3"/>
        <v>10</v>
      </c>
      <c r="W41" s="157">
        <f t="shared" si="4"/>
        <v>10</v>
      </c>
      <c r="X41" s="30" t="s">
        <v>143</v>
      </c>
      <c r="Y41" s="50">
        <f t="shared" si="5"/>
        <v>20</v>
      </c>
      <c r="Z41" s="158">
        <f t="shared" si="6"/>
        <v>1.1405759908753921E-2</v>
      </c>
      <c r="AA41" s="159">
        <f t="shared" si="7"/>
        <v>1.4285714285714286</v>
      </c>
      <c r="AC41" s="5">
        <v>25</v>
      </c>
      <c r="AD41" s="160">
        <f t="shared" si="8"/>
        <v>0.08</v>
      </c>
      <c r="AE41" s="4">
        <f>+AE40</f>
        <v>2.25</v>
      </c>
      <c r="AF41" s="161">
        <f t="shared" si="9"/>
        <v>0.09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6</v>
      </c>
      <c r="H42" s="163"/>
      <c r="I42" s="164"/>
      <c r="J42" s="154">
        <f>+J41</f>
        <v>0</v>
      </c>
      <c r="K42" s="12"/>
      <c r="L42" s="151">
        <f>+L41</f>
        <v>1</v>
      </c>
      <c r="M42" s="163">
        <v>2</v>
      </c>
      <c r="N42" s="164">
        <v>11.2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34</v>
      </c>
      <c r="V42" s="156">
        <f t="shared" si="3"/>
        <v>17</v>
      </c>
      <c r="W42" s="157">
        <f t="shared" si="4"/>
        <v>17</v>
      </c>
      <c r="X42" s="30" t="s">
        <v>145</v>
      </c>
      <c r="Y42" s="50">
        <f t="shared" si="5"/>
        <v>34</v>
      </c>
      <c r="Z42" s="158">
        <f t="shared" si="6"/>
        <v>1.9389791844881665E-2</v>
      </c>
      <c r="AA42" s="159">
        <f t="shared" si="7"/>
        <v>2.4285714285714284</v>
      </c>
      <c r="AC42" s="5">
        <v>25</v>
      </c>
      <c r="AD42" s="160">
        <f t="shared" si="8"/>
        <v>0.08</v>
      </c>
      <c r="AE42" s="4">
        <f>+AE41</f>
        <v>2.25</v>
      </c>
      <c r="AF42" s="161">
        <f t="shared" si="9"/>
        <v>0.09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6</v>
      </c>
      <c r="H43" s="163"/>
      <c r="I43" s="164"/>
      <c r="J43" s="154">
        <f>+J42</f>
        <v>0</v>
      </c>
      <c r="K43" s="12"/>
      <c r="L43" s="151">
        <f>+L42</f>
        <v>1</v>
      </c>
      <c r="M43" s="163">
        <v>4</v>
      </c>
      <c r="N43" s="164">
        <v>1.5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27.874999999999996</v>
      </c>
      <c r="V43" s="156">
        <f t="shared" si="3"/>
        <v>13.937499999999998</v>
      </c>
      <c r="W43" s="157">
        <f t="shared" si="4"/>
        <v>13.937499999999998</v>
      </c>
      <c r="X43" s="30" t="s">
        <v>147</v>
      </c>
      <c r="Y43" s="50">
        <f t="shared" si="5"/>
        <v>27.874999999999996</v>
      </c>
      <c r="Z43" s="158">
        <f t="shared" si="6"/>
        <v>1.5896777872825774E-2</v>
      </c>
      <c r="AA43" s="159">
        <f t="shared" si="7"/>
        <v>1.9910714285714284</v>
      </c>
      <c r="AC43" s="5">
        <v>25</v>
      </c>
      <c r="AD43" s="160">
        <f t="shared" si="8"/>
        <v>0.08</v>
      </c>
      <c r="AE43" s="4">
        <f>+AE42</f>
        <v>2.25</v>
      </c>
      <c r="AF43" s="161">
        <f t="shared" si="9"/>
        <v>0.09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6</v>
      </c>
      <c r="H44" s="163"/>
      <c r="I44" s="164"/>
      <c r="J44" s="154">
        <f>+J43</f>
        <v>0</v>
      </c>
      <c r="K44" s="12"/>
      <c r="L44" s="151">
        <f>+L43</f>
        <v>1</v>
      </c>
      <c r="M44" s="163">
        <v>6</v>
      </c>
      <c r="N44" s="164">
        <v>1.4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39.875000000000007</v>
      </c>
      <c r="V44" s="156">
        <f t="shared" si="3"/>
        <v>19.937500000000004</v>
      </c>
      <c r="W44" s="157">
        <f t="shared" si="4"/>
        <v>19.937500000000004</v>
      </c>
      <c r="X44" s="30" t="s">
        <v>149</v>
      </c>
      <c r="Y44" s="50">
        <f t="shared" si="5"/>
        <v>39.875000000000007</v>
      </c>
      <c r="Z44" s="158">
        <f t="shared" si="6"/>
        <v>2.2740233818078135E-2</v>
      </c>
      <c r="AA44" s="159">
        <f t="shared" si="7"/>
        <v>2.848214285714286</v>
      </c>
      <c r="AC44" s="5">
        <v>25</v>
      </c>
      <c r="AD44" s="160">
        <f t="shared" si="8"/>
        <v>0.08</v>
      </c>
      <c r="AE44" s="4">
        <f>+AE43</f>
        <v>2.25</v>
      </c>
      <c r="AF44" s="161">
        <f t="shared" si="9"/>
        <v>0.09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15.458333333333334</v>
      </c>
      <c r="X45" s="24"/>
      <c r="Y45" s="50"/>
      <c r="Z45" s="167">
        <f>SUM(Y39:Y44)/TOTAL_MEASUED_INCOME</f>
        <v>0.10578842315369262</v>
      </c>
      <c r="AA45" s="168">
        <f>AVERAGE(AA39:AA44)</f>
        <v>2.2083333333333335</v>
      </c>
      <c r="AD45" s="160"/>
      <c r="AF45" s="161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6</v>
      </c>
      <c r="H46" s="163"/>
      <c r="I46" s="164"/>
      <c r="J46" s="154">
        <f>+J44</f>
        <v>0</v>
      </c>
      <c r="K46" s="12"/>
      <c r="L46" s="151">
        <f>+L44</f>
        <v>1</v>
      </c>
      <c r="M46" s="163">
        <v>0</v>
      </c>
      <c r="N46" s="164">
        <v>15.9</v>
      </c>
      <c r="O46" s="154">
        <f>+O44</f>
        <v>0</v>
      </c>
      <c r="P46" s="12"/>
      <c r="Q46" s="165">
        <f t="shared" ref="Q46:Q57" si="10">(((+H46+(I46/16))-J46)-((+H45+(I45/16))-J45))*20</f>
        <v>0</v>
      </c>
      <c r="R46" s="156">
        <f t="shared" ref="R46:R57" si="11">+Q46/E46</f>
        <v>0</v>
      </c>
      <c r="S46" s="157">
        <f t="shared" ref="S46:S57" si="12">(+R46/C46)/G46</f>
        <v>0</v>
      </c>
      <c r="T46" s="12"/>
      <c r="U46" s="155">
        <f>((+M46+(N46/16))-O46)*20</f>
        <v>19.875</v>
      </c>
      <c r="V46" s="156">
        <f t="shared" ref="V46:V57" si="13">+U46/E46</f>
        <v>19.875</v>
      </c>
      <c r="W46" s="157">
        <f t="shared" ref="W46:W57" si="14">(+V46/C46)/L46</f>
        <v>19.875</v>
      </c>
      <c r="X46" s="30" t="s">
        <v>151</v>
      </c>
      <c r="Y46" s="50">
        <f t="shared" ref="Y46:Y57" si="15">+U46+Q46</f>
        <v>19.875</v>
      </c>
      <c r="Z46" s="158">
        <f t="shared" ref="Z46:Z57" si="16">+Y46/TOTAL_MEASUED_INCOME</f>
        <v>1.1334473909324209E-2</v>
      </c>
      <c r="AA46" s="159">
        <f t="shared" ref="AA46:AA57" si="17">((+R46+V46)/C46)/(+G46+L46)</f>
        <v>2.8392857142857144</v>
      </c>
      <c r="AC46" s="5">
        <v>14</v>
      </c>
      <c r="AD46" s="160">
        <f t="shared" ref="AD46:AD57" si="18">+E46/AC46</f>
        <v>7.1428571428571425E-2</v>
      </c>
      <c r="AE46" s="11">
        <v>1.25</v>
      </c>
      <c r="AF46" s="161">
        <f t="shared" ref="AF46:AF57" si="19">+AE46/AC46</f>
        <v>8.9285714285714288E-2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20">+G46</f>
        <v>6</v>
      </c>
      <c r="H47" s="163"/>
      <c r="I47" s="164"/>
      <c r="J47" s="154">
        <f t="shared" ref="J47:J57" si="21">+J46</f>
        <v>0</v>
      </c>
      <c r="K47" s="12"/>
      <c r="L47" s="151">
        <f t="shared" ref="L47:L57" si="22">+L46</f>
        <v>1</v>
      </c>
      <c r="M47" s="163">
        <v>2</v>
      </c>
      <c r="N47" s="164">
        <v>6.3</v>
      </c>
      <c r="O47" s="154">
        <f t="shared" ref="O47:O57" si="23">+O46</f>
        <v>0</v>
      </c>
      <c r="P47" s="12"/>
      <c r="Q47" s="165">
        <f t="shared" si="10"/>
        <v>0</v>
      </c>
      <c r="R47" s="156">
        <f t="shared" si="11"/>
        <v>0</v>
      </c>
      <c r="S47" s="157">
        <f t="shared" si="12"/>
        <v>0</v>
      </c>
      <c r="T47" s="12"/>
      <c r="U47" s="165">
        <f>(((+M47+(N47/16))-O47)-((+M46+(N46/16))-O46))*20</f>
        <v>28</v>
      </c>
      <c r="V47" s="156">
        <f t="shared" si="13"/>
        <v>28</v>
      </c>
      <c r="W47" s="157">
        <f t="shared" si="14"/>
        <v>28</v>
      </c>
      <c r="X47" s="30" t="s">
        <v>153</v>
      </c>
      <c r="Y47" s="50">
        <f t="shared" si="15"/>
        <v>28</v>
      </c>
      <c r="Z47" s="158">
        <f t="shared" si="16"/>
        <v>1.5968063872255488E-2</v>
      </c>
      <c r="AA47" s="159">
        <f t="shared" si="17"/>
        <v>4</v>
      </c>
      <c r="AC47" s="5">
        <v>14</v>
      </c>
      <c r="AD47" s="160">
        <f t="shared" si="18"/>
        <v>7.1428571428571425E-2</v>
      </c>
      <c r="AE47" s="4">
        <f t="shared" ref="AE47:AE57" si="24">+AE46</f>
        <v>1.25</v>
      </c>
      <c r="AF47" s="161">
        <f t="shared" si="19"/>
        <v>8.9285714285714288E-2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20"/>
        <v>6</v>
      </c>
      <c r="H48" s="163"/>
      <c r="I48" s="164"/>
      <c r="J48" s="154">
        <f t="shared" si="21"/>
        <v>0</v>
      </c>
      <c r="K48" s="12"/>
      <c r="L48" s="151">
        <f t="shared" si="22"/>
        <v>1</v>
      </c>
      <c r="M48" s="163">
        <v>3</v>
      </c>
      <c r="N48" s="164">
        <v>12.7</v>
      </c>
      <c r="O48" s="154">
        <f t="shared" si="23"/>
        <v>0</v>
      </c>
      <c r="P48" s="12"/>
      <c r="Q48" s="165">
        <f t="shared" si="10"/>
        <v>0</v>
      </c>
      <c r="R48" s="156">
        <f t="shared" si="11"/>
        <v>0</v>
      </c>
      <c r="S48" s="157">
        <f t="shared" si="12"/>
        <v>0</v>
      </c>
      <c r="T48" s="12"/>
      <c r="U48" s="165">
        <f>(((+M48+(N48/16))-O48)-((+M47+(N47/16))-O47))*20</f>
        <v>28.000000000000007</v>
      </c>
      <c r="V48" s="156">
        <f t="shared" si="13"/>
        <v>28.000000000000007</v>
      </c>
      <c r="W48" s="157">
        <f t="shared" si="14"/>
        <v>28.000000000000007</v>
      </c>
      <c r="X48" s="30" t="s">
        <v>155</v>
      </c>
      <c r="Y48" s="50">
        <f t="shared" si="15"/>
        <v>28.000000000000007</v>
      </c>
      <c r="Z48" s="158">
        <f t="shared" si="16"/>
        <v>1.5968063872255495E-2</v>
      </c>
      <c r="AA48" s="159">
        <f t="shared" si="17"/>
        <v>4.0000000000000009</v>
      </c>
      <c r="AC48" s="5">
        <v>14</v>
      </c>
      <c r="AD48" s="160">
        <f t="shared" si="18"/>
        <v>7.1428571428571425E-2</v>
      </c>
      <c r="AE48" s="4">
        <f t="shared" si="24"/>
        <v>1.25</v>
      </c>
      <c r="AF48" s="161">
        <f t="shared" si="19"/>
        <v>8.9285714285714288E-2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20"/>
        <v>6</v>
      </c>
      <c r="H49" s="163"/>
      <c r="I49" s="164"/>
      <c r="J49" s="154">
        <f t="shared" si="21"/>
        <v>0</v>
      </c>
      <c r="K49" s="12"/>
      <c r="L49" s="151">
        <f t="shared" si="22"/>
        <v>1</v>
      </c>
      <c r="M49" s="163">
        <v>5</v>
      </c>
      <c r="N49" s="164">
        <v>7</v>
      </c>
      <c r="O49" s="154">
        <f t="shared" si="23"/>
        <v>0</v>
      </c>
      <c r="P49" s="12"/>
      <c r="Q49" s="165">
        <f t="shared" si="10"/>
        <v>0</v>
      </c>
      <c r="R49" s="156">
        <f t="shared" si="11"/>
        <v>0</v>
      </c>
      <c r="S49" s="157">
        <f t="shared" si="12"/>
        <v>0</v>
      </c>
      <c r="T49" s="12"/>
      <c r="U49" s="165">
        <f>(((+M49+(N49/16))-O49)-((+M48+(N48/16))-O48))*20</f>
        <v>32.875</v>
      </c>
      <c r="V49" s="156">
        <f t="shared" si="13"/>
        <v>32.875</v>
      </c>
      <c r="W49" s="157">
        <f t="shared" si="14"/>
        <v>32.875</v>
      </c>
      <c r="X49" s="30" t="s">
        <v>157</v>
      </c>
      <c r="Y49" s="50">
        <f t="shared" si="15"/>
        <v>32.875</v>
      </c>
      <c r="Z49" s="158">
        <f t="shared" si="16"/>
        <v>1.8748217850014258E-2</v>
      </c>
      <c r="AA49" s="159">
        <f t="shared" si="17"/>
        <v>4.6964285714285712</v>
      </c>
      <c r="AC49" s="5">
        <v>14</v>
      </c>
      <c r="AD49" s="160">
        <f t="shared" si="18"/>
        <v>7.1428571428571425E-2</v>
      </c>
      <c r="AE49" s="4">
        <f t="shared" si="24"/>
        <v>1.25</v>
      </c>
      <c r="AF49" s="161">
        <f t="shared" si="19"/>
        <v>8.9285714285714288E-2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20"/>
        <v>6</v>
      </c>
      <c r="H50" s="163"/>
      <c r="I50" s="164"/>
      <c r="J50" s="154">
        <f t="shared" si="21"/>
        <v>0</v>
      </c>
      <c r="K50" s="12"/>
      <c r="L50" s="151">
        <f t="shared" si="22"/>
        <v>1</v>
      </c>
      <c r="M50" s="163">
        <v>6</v>
      </c>
      <c r="N50" s="164">
        <v>15.7</v>
      </c>
      <c r="O50" s="154">
        <f t="shared" si="23"/>
        <v>0</v>
      </c>
      <c r="P50" s="12"/>
      <c r="Q50" s="165">
        <f t="shared" si="10"/>
        <v>0</v>
      </c>
      <c r="R50" s="156">
        <f t="shared" si="11"/>
        <v>0</v>
      </c>
      <c r="S50" s="157">
        <f t="shared" si="12"/>
        <v>0</v>
      </c>
      <c r="T50" s="12"/>
      <c r="U50" s="165">
        <f>(((+M50+(N50/16))-O50)-((+M49+(N49/16))-O49))*20</f>
        <v>30.875000000000004</v>
      </c>
      <c r="V50" s="156">
        <f t="shared" si="13"/>
        <v>30.875000000000004</v>
      </c>
      <c r="W50" s="157">
        <f t="shared" si="14"/>
        <v>30.875000000000004</v>
      </c>
      <c r="X50" s="30" t="s">
        <v>159</v>
      </c>
      <c r="Y50" s="50">
        <f t="shared" si="15"/>
        <v>30.875000000000004</v>
      </c>
      <c r="Z50" s="158">
        <f t="shared" si="16"/>
        <v>1.7607641859138868E-2</v>
      </c>
      <c r="AA50" s="159">
        <f t="shared" si="17"/>
        <v>4.4107142857142865</v>
      </c>
      <c r="AC50" s="5">
        <v>14</v>
      </c>
      <c r="AD50" s="160">
        <f t="shared" si="18"/>
        <v>7.1428571428571425E-2</v>
      </c>
      <c r="AE50" s="4">
        <f t="shared" si="24"/>
        <v>1.25</v>
      </c>
      <c r="AF50" s="161">
        <f t="shared" si="19"/>
        <v>8.9285714285714288E-2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20"/>
        <v>6</v>
      </c>
      <c r="H51" s="163"/>
      <c r="I51" s="164"/>
      <c r="J51" s="154">
        <f t="shared" si="21"/>
        <v>0</v>
      </c>
      <c r="K51" s="12"/>
      <c r="L51" s="151">
        <f t="shared" si="22"/>
        <v>1</v>
      </c>
      <c r="M51" s="163">
        <v>8</v>
      </c>
      <c r="N51" s="164">
        <v>6.9</v>
      </c>
      <c r="O51" s="154">
        <f t="shared" si="23"/>
        <v>0</v>
      </c>
      <c r="P51" s="12"/>
      <c r="Q51" s="165">
        <f t="shared" si="10"/>
        <v>0</v>
      </c>
      <c r="R51" s="156">
        <f t="shared" si="11"/>
        <v>0</v>
      </c>
      <c r="S51" s="157">
        <f t="shared" si="12"/>
        <v>0</v>
      </c>
      <c r="T51" s="12"/>
      <c r="U51" s="165">
        <f>(((+M51+(N51/16))-O51)-((+M50+(N50/16))-O50))*20</f>
        <v>29.000000000000004</v>
      </c>
      <c r="V51" s="156">
        <f t="shared" si="13"/>
        <v>29.000000000000004</v>
      </c>
      <c r="W51" s="157">
        <f t="shared" si="14"/>
        <v>29.000000000000004</v>
      </c>
      <c r="X51" s="30" t="s">
        <v>161</v>
      </c>
      <c r="Y51" s="50">
        <f t="shared" si="15"/>
        <v>29.000000000000004</v>
      </c>
      <c r="Z51" s="158">
        <f t="shared" si="16"/>
        <v>1.6538351867693188E-2</v>
      </c>
      <c r="AA51" s="159">
        <f t="shared" si="17"/>
        <v>4.1428571428571432</v>
      </c>
      <c r="AC51" s="5">
        <v>14</v>
      </c>
      <c r="AD51" s="160">
        <f t="shared" si="18"/>
        <v>7.1428571428571425E-2</v>
      </c>
      <c r="AE51" s="4">
        <f t="shared" si="24"/>
        <v>1.25</v>
      </c>
      <c r="AF51" s="161">
        <f t="shared" si="19"/>
        <v>8.9285714285714288E-2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20"/>
        <v>6</v>
      </c>
      <c r="H52" s="163"/>
      <c r="I52" s="164"/>
      <c r="J52" s="154">
        <f t="shared" si="21"/>
        <v>0</v>
      </c>
      <c r="K52" s="12"/>
      <c r="L52" s="151">
        <f t="shared" si="22"/>
        <v>1</v>
      </c>
      <c r="M52" s="163">
        <v>1</v>
      </c>
      <c r="N52" s="164">
        <v>10.3</v>
      </c>
      <c r="O52" s="154">
        <f t="shared" si="23"/>
        <v>0</v>
      </c>
      <c r="P52" s="12"/>
      <c r="Q52" s="165">
        <f t="shared" si="10"/>
        <v>0</v>
      </c>
      <c r="R52" s="156">
        <f t="shared" si="11"/>
        <v>0</v>
      </c>
      <c r="S52" s="157">
        <f t="shared" si="12"/>
        <v>0</v>
      </c>
      <c r="T52" s="12"/>
      <c r="U52" s="155">
        <f>((+M52+(N52/16))-O52)*20</f>
        <v>32.875</v>
      </c>
      <c r="V52" s="156">
        <f t="shared" si="13"/>
        <v>32.875</v>
      </c>
      <c r="W52" s="157">
        <f t="shared" si="14"/>
        <v>32.875</v>
      </c>
      <c r="X52" s="30" t="s">
        <v>163</v>
      </c>
      <c r="Y52" s="50">
        <f t="shared" si="15"/>
        <v>32.875</v>
      </c>
      <c r="Z52" s="158">
        <f t="shared" si="16"/>
        <v>1.8748217850014258E-2</v>
      </c>
      <c r="AA52" s="159">
        <f t="shared" si="17"/>
        <v>4.6964285714285712</v>
      </c>
      <c r="AC52" s="5">
        <v>14</v>
      </c>
      <c r="AD52" s="160">
        <f t="shared" si="18"/>
        <v>7.1428571428571425E-2</v>
      </c>
      <c r="AE52" s="4">
        <f t="shared" si="24"/>
        <v>1.25</v>
      </c>
      <c r="AF52" s="161">
        <f t="shared" si="19"/>
        <v>8.9285714285714288E-2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20"/>
        <v>6</v>
      </c>
      <c r="H53" s="163"/>
      <c r="I53" s="164"/>
      <c r="J53" s="154">
        <f t="shared" si="21"/>
        <v>0</v>
      </c>
      <c r="K53" s="12"/>
      <c r="L53" s="151">
        <f t="shared" si="22"/>
        <v>1</v>
      </c>
      <c r="M53" s="163">
        <v>3</v>
      </c>
      <c r="N53" s="164">
        <v>7.1</v>
      </c>
      <c r="O53" s="154">
        <f t="shared" si="23"/>
        <v>0</v>
      </c>
      <c r="P53" s="12"/>
      <c r="Q53" s="165">
        <f t="shared" si="10"/>
        <v>0</v>
      </c>
      <c r="R53" s="156">
        <f t="shared" si="11"/>
        <v>0</v>
      </c>
      <c r="S53" s="157">
        <f t="shared" si="12"/>
        <v>0</v>
      </c>
      <c r="T53" s="12"/>
      <c r="U53" s="165">
        <f>(((+M53+(N53/16))-O53)-((+M52+(N52/16))-O52))*20</f>
        <v>36</v>
      </c>
      <c r="V53" s="156">
        <f t="shared" si="13"/>
        <v>36</v>
      </c>
      <c r="W53" s="157">
        <f t="shared" si="14"/>
        <v>36</v>
      </c>
      <c r="X53" s="30" t="s">
        <v>165</v>
      </c>
      <c r="Y53" s="50">
        <f t="shared" si="15"/>
        <v>36</v>
      </c>
      <c r="Z53" s="158">
        <f t="shared" si="16"/>
        <v>2.0530367835757058E-2</v>
      </c>
      <c r="AA53" s="159">
        <f t="shared" si="17"/>
        <v>5.1428571428571432</v>
      </c>
      <c r="AC53" s="5">
        <v>14</v>
      </c>
      <c r="AD53" s="160">
        <f t="shared" si="18"/>
        <v>7.1428571428571425E-2</v>
      </c>
      <c r="AE53" s="4">
        <f t="shared" si="24"/>
        <v>1.25</v>
      </c>
      <c r="AF53" s="161">
        <f t="shared" si="19"/>
        <v>8.9285714285714288E-2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20"/>
        <v>6</v>
      </c>
      <c r="H54" s="163"/>
      <c r="I54" s="164"/>
      <c r="J54" s="154">
        <f t="shared" si="21"/>
        <v>0</v>
      </c>
      <c r="K54" s="12"/>
      <c r="L54" s="151">
        <f t="shared" si="22"/>
        <v>1</v>
      </c>
      <c r="M54" s="163">
        <v>5</v>
      </c>
      <c r="N54" s="164">
        <v>2.2000000000000002</v>
      </c>
      <c r="O54" s="154">
        <f t="shared" si="23"/>
        <v>0</v>
      </c>
      <c r="P54" s="12"/>
      <c r="Q54" s="165">
        <f t="shared" si="10"/>
        <v>0</v>
      </c>
      <c r="R54" s="156">
        <f t="shared" si="11"/>
        <v>0</v>
      </c>
      <c r="S54" s="157">
        <f t="shared" si="12"/>
        <v>0</v>
      </c>
      <c r="T54" s="12"/>
      <c r="U54" s="165">
        <f>(((+M54+(N54/16))-O54)-((+M53+(N53/16))-O53))*20</f>
        <v>33.875</v>
      </c>
      <c r="V54" s="156">
        <f t="shared" si="13"/>
        <v>33.875</v>
      </c>
      <c r="W54" s="157">
        <f t="shared" si="14"/>
        <v>33.875</v>
      </c>
      <c r="X54" s="30" t="s">
        <v>167</v>
      </c>
      <c r="Y54" s="50">
        <f t="shared" si="15"/>
        <v>33.875</v>
      </c>
      <c r="Z54" s="158">
        <f t="shared" si="16"/>
        <v>1.9318505845451955E-2</v>
      </c>
      <c r="AA54" s="159">
        <f t="shared" si="17"/>
        <v>4.8392857142857144</v>
      </c>
      <c r="AC54" s="5">
        <v>14</v>
      </c>
      <c r="AD54" s="160">
        <f t="shared" si="18"/>
        <v>7.1428571428571425E-2</v>
      </c>
      <c r="AE54" s="4">
        <f t="shared" si="24"/>
        <v>1.25</v>
      </c>
      <c r="AF54" s="161">
        <f t="shared" si="19"/>
        <v>8.9285714285714288E-2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20"/>
        <v>6</v>
      </c>
      <c r="H55" s="163"/>
      <c r="I55" s="164"/>
      <c r="J55" s="154">
        <f t="shared" si="21"/>
        <v>0</v>
      </c>
      <c r="K55" s="12"/>
      <c r="L55" s="151">
        <f t="shared" si="22"/>
        <v>1</v>
      </c>
      <c r="M55" s="163">
        <v>6</v>
      </c>
      <c r="N55" s="164">
        <v>9.4</v>
      </c>
      <c r="O55" s="154">
        <f t="shared" si="23"/>
        <v>0</v>
      </c>
      <c r="P55" s="12"/>
      <c r="Q55" s="165">
        <f t="shared" si="10"/>
        <v>0</v>
      </c>
      <c r="R55" s="156">
        <f t="shared" si="11"/>
        <v>0</v>
      </c>
      <c r="S55" s="157">
        <f t="shared" si="12"/>
        <v>0</v>
      </c>
      <c r="T55" s="12"/>
      <c r="U55" s="165">
        <f>(((+M55+(N55/16))-O55)-((+M54+(N54/16))-O54))*20</f>
        <v>29.000000000000004</v>
      </c>
      <c r="V55" s="156">
        <f t="shared" si="13"/>
        <v>29.000000000000004</v>
      </c>
      <c r="W55" s="157">
        <f t="shared" si="14"/>
        <v>29.000000000000004</v>
      </c>
      <c r="X55" s="30" t="s">
        <v>169</v>
      </c>
      <c r="Y55" s="50">
        <f t="shared" si="15"/>
        <v>29.000000000000004</v>
      </c>
      <c r="Z55" s="158">
        <f t="shared" si="16"/>
        <v>1.6538351867693188E-2</v>
      </c>
      <c r="AA55" s="159">
        <f t="shared" si="17"/>
        <v>4.1428571428571432</v>
      </c>
      <c r="AC55" s="5">
        <v>14</v>
      </c>
      <c r="AD55" s="160">
        <f t="shared" si="18"/>
        <v>7.1428571428571425E-2</v>
      </c>
      <c r="AE55" s="4">
        <f t="shared" si="24"/>
        <v>1.25</v>
      </c>
      <c r="AF55" s="161">
        <f t="shared" si="19"/>
        <v>8.9285714285714288E-2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20"/>
        <v>6</v>
      </c>
      <c r="H56" s="163"/>
      <c r="I56" s="164"/>
      <c r="J56" s="154">
        <f t="shared" si="21"/>
        <v>0</v>
      </c>
      <c r="K56" s="12"/>
      <c r="L56" s="151">
        <f t="shared" si="22"/>
        <v>1</v>
      </c>
      <c r="M56" s="163">
        <v>8</v>
      </c>
      <c r="N56" s="164">
        <v>2.1</v>
      </c>
      <c r="O56" s="154">
        <f t="shared" si="23"/>
        <v>0</v>
      </c>
      <c r="P56" s="12"/>
      <c r="Q56" s="165">
        <f t="shared" si="10"/>
        <v>0</v>
      </c>
      <c r="R56" s="156">
        <f t="shared" si="11"/>
        <v>0</v>
      </c>
      <c r="S56" s="157">
        <f t="shared" si="12"/>
        <v>0</v>
      </c>
      <c r="T56" s="12"/>
      <c r="U56" s="165">
        <f>(((+M56+(N56/16))-O56)-((+M55+(N55/16))-O55))*20</f>
        <v>30.874999999999986</v>
      </c>
      <c r="V56" s="156">
        <f t="shared" si="13"/>
        <v>30.874999999999986</v>
      </c>
      <c r="W56" s="157">
        <f t="shared" si="14"/>
        <v>30.874999999999986</v>
      </c>
      <c r="X56" s="30" t="s">
        <v>171</v>
      </c>
      <c r="Y56" s="50">
        <f t="shared" si="15"/>
        <v>30.874999999999986</v>
      </c>
      <c r="Z56" s="158">
        <f t="shared" si="16"/>
        <v>1.7607641859138858E-2</v>
      </c>
      <c r="AA56" s="159">
        <f t="shared" si="17"/>
        <v>4.4107142857142838</v>
      </c>
      <c r="AC56" s="5">
        <v>14</v>
      </c>
      <c r="AD56" s="160">
        <f t="shared" si="18"/>
        <v>7.1428571428571425E-2</v>
      </c>
      <c r="AE56" s="4">
        <f t="shared" si="24"/>
        <v>1.25</v>
      </c>
      <c r="AF56" s="161">
        <f t="shared" si="19"/>
        <v>8.9285714285714288E-2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20"/>
        <v>6</v>
      </c>
      <c r="H57" s="163"/>
      <c r="I57" s="171"/>
      <c r="J57" s="154">
        <f t="shared" si="21"/>
        <v>0</v>
      </c>
      <c r="K57" s="12"/>
      <c r="L57" s="151">
        <f t="shared" si="22"/>
        <v>1</v>
      </c>
      <c r="M57" s="163">
        <v>9</v>
      </c>
      <c r="N57" s="171">
        <v>9.3000000000000007</v>
      </c>
      <c r="O57" s="154">
        <f t="shared" si="23"/>
        <v>0</v>
      </c>
      <c r="P57" s="12"/>
      <c r="Q57" s="165">
        <f t="shared" si="10"/>
        <v>0</v>
      </c>
      <c r="R57" s="156">
        <f t="shared" si="11"/>
        <v>0</v>
      </c>
      <c r="S57" s="157">
        <f t="shared" si="12"/>
        <v>0</v>
      </c>
      <c r="T57" s="12"/>
      <c r="U57" s="165">
        <f>(((+M57+(N57/16))-O57)-((+M56+(N56/16))-O56))*20</f>
        <v>29.000000000000021</v>
      </c>
      <c r="V57" s="156">
        <f t="shared" si="13"/>
        <v>29.000000000000021</v>
      </c>
      <c r="W57" s="157">
        <f t="shared" si="14"/>
        <v>29.000000000000021</v>
      </c>
      <c r="X57" s="30" t="s">
        <v>173</v>
      </c>
      <c r="Y57" s="50">
        <f t="shared" si="15"/>
        <v>29.000000000000021</v>
      </c>
      <c r="Z57" s="158">
        <f t="shared" si="16"/>
        <v>1.6538351867693198E-2</v>
      </c>
      <c r="AA57" s="159">
        <f t="shared" si="17"/>
        <v>4.1428571428571459</v>
      </c>
      <c r="AC57" s="5">
        <v>14</v>
      </c>
      <c r="AD57" s="160">
        <f t="shared" si="18"/>
        <v>7.1428571428571425E-2</v>
      </c>
      <c r="AE57" s="4">
        <f t="shared" si="24"/>
        <v>1.25</v>
      </c>
      <c r="AF57" s="161">
        <f t="shared" si="19"/>
        <v>8.9285714285714288E-2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30.020833333333332</v>
      </c>
      <c r="X58" s="24"/>
      <c r="Y58" s="50"/>
      <c r="Z58" s="167">
        <f>SUM(Y46:Y57)/TOTAL_MEASUED_INCOME</f>
        <v>0.20544625035642999</v>
      </c>
      <c r="AA58" s="168">
        <f>AVERAGE(AA46:AA57)</f>
        <v>4.2886904761904772</v>
      </c>
      <c r="AD58" s="160"/>
      <c r="AF58" s="161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6</v>
      </c>
      <c r="H59" s="163"/>
      <c r="I59" s="171"/>
      <c r="J59" s="154">
        <f>+J57</f>
        <v>0</v>
      </c>
      <c r="K59" s="12"/>
      <c r="L59" s="151">
        <f>+L57</f>
        <v>1</v>
      </c>
      <c r="M59" s="163">
        <v>1</v>
      </c>
      <c r="N59" s="171">
        <v>5.8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27.25</v>
      </c>
      <c r="V59" s="156">
        <f>+U59/E59</f>
        <v>15.571428571428571</v>
      </c>
      <c r="W59" s="157">
        <f>(+V59/C59)/L59</f>
        <v>15.571428571428571</v>
      </c>
      <c r="X59" s="30" t="s">
        <v>176</v>
      </c>
      <c r="Y59" s="50">
        <f>+U59+Q59</f>
        <v>27.25</v>
      </c>
      <c r="Z59" s="158">
        <f>+Y59/TOTAL_MEASUED_INCOME</f>
        <v>1.5540347875677218E-2</v>
      </c>
      <c r="AA59" s="159">
        <f>((+R59+V59)/C59)/(+G59+L59)</f>
        <v>2.2244897959183674</v>
      </c>
      <c r="AC59" s="5">
        <v>18</v>
      </c>
      <c r="AD59" s="160">
        <f>+E59/AC59</f>
        <v>9.7222222222222224E-2</v>
      </c>
      <c r="AE59" s="11">
        <v>1.75</v>
      </c>
      <c r="AF59" s="161">
        <f>+AE59/AC59</f>
        <v>9.7222222222222224E-2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6</v>
      </c>
      <c r="H60" s="163"/>
      <c r="I60" s="171"/>
      <c r="J60" s="154">
        <f>+J58</f>
        <v>0</v>
      </c>
      <c r="K60" s="12"/>
      <c r="L60" s="151">
        <f>+L59</f>
        <v>1</v>
      </c>
      <c r="M60" s="163">
        <v>3</v>
      </c>
      <c r="N60" s="171">
        <v>0.3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33.124999999999993</v>
      </c>
      <c r="V60" s="156">
        <f>+U60/E60</f>
        <v>18.928571428571423</v>
      </c>
      <c r="W60" s="157">
        <f>(+V60/C60)/L60</f>
        <v>18.928571428571423</v>
      </c>
      <c r="X60" s="30" t="s">
        <v>178</v>
      </c>
      <c r="Y60" s="50">
        <f>+U60+Q60</f>
        <v>33.124999999999993</v>
      </c>
      <c r="Z60" s="158">
        <f>+Y60/TOTAL_MEASUED_INCOME</f>
        <v>1.8890789848873678E-2</v>
      </c>
      <c r="AA60" s="159">
        <f>((+R60+V60)/C60)/(+G60+L60)</f>
        <v>2.7040816326530606</v>
      </c>
      <c r="AC60" s="5">
        <v>18</v>
      </c>
      <c r="AD60" s="160">
        <f>+E60/AC60</f>
        <v>9.7222222222222224E-2</v>
      </c>
      <c r="AE60" s="4">
        <f>+AE59</f>
        <v>1.75</v>
      </c>
      <c r="AF60" s="161">
        <f>+AE60/AC60</f>
        <v>9.7222222222222224E-2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6</v>
      </c>
      <c r="H61" s="163"/>
      <c r="I61" s="171"/>
      <c r="J61" s="154">
        <f>+J59</f>
        <v>0</v>
      </c>
      <c r="K61" s="12"/>
      <c r="L61" s="151">
        <f>+L60</f>
        <v>1</v>
      </c>
      <c r="M61" s="163">
        <v>4</v>
      </c>
      <c r="N61" s="171">
        <v>6.7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28.000000000000007</v>
      </c>
      <c r="V61" s="156">
        <f>+U61/E61</f>
        <v>16.000000000000004</v>
      </c>
      <c r="W61" s="157">
        <f>(+V61/C61)/L61</f>
        <v>16.000000000000004</v>
      </c>
      <c r="X61" s="30" t="s">
        <v>180</v>
      </c>
      <c r="Y61" s="50">
        <f>+U61+Q61</f>
        <v>28.000000000000007</v>
      </c>
      <c r="Z61" s="158">
        <f>+Y61/TOTAL_MEASUED_INCOME</f>
        <v>1.5968063872255495E-2</v>
      </c>
      <c r="AA61" s="159">
        <f>((+R61+V61)/C61)/(+G61+L61)</f>
        <v>2.285714285714286</v>
      </c>
      <c r="AC61" s="5">
        <v>18</v>
      </c>
      <c r="AD61" s="160">
        <f>+E61/AC61</f>
        <v>9.7222222222222224E-2</v>
      </c>
      <c r="AE61" s="4">
        <f>+AE60</f>
        <v>1.75</v>
      </c>
      <c r="AF61" s="161">
        <f>+AE61/AC61</f>
        <v>9.7222222222222224E-2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6</v>
      </c>
      <c r="H62" s="163"/>
      <c r="I62" s="171"/>
      <c r="J62" s="154">
        <f>+J60</f>
        <v>0</v>
      </c>
      <c r="K62" s="12"/>
      <c r="L62" s="151">
        <f>+L61</f>
        <v>1</v>
      </c>
      <c r="M62" s="163">
        <v>5</v>
      </c>
      <c r="N62" s="171">
        <v>6.1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19.249999999999989</v>
      </c>
      <c r="V62" s="156">
        <f>+U62/E62</f>
        <v>10.999999999999995</v>
      </c>
      <c r="W62" s="157">
        <f>(+V62/C62)/L62</f>
        <v>10.999999999999995</v>
      </c>
      <c r="X62" s="30" t="s">
        <v>182</v>
      </c>
      <c r="Y62" s="50">
        <f>+U62+Q62</f>
        <v>19.249999999999989</v>
      </c>
      <c r="Z62" s="158">
        <f>+Y62/TOTAL_MEASUED_INCOME</f>
        <v>1.0978043912175642E-2</v>
      </c>
      <c r="AA62" s="159">
        <f>((+R62+V62)/C62)/(+G62+L62)</f>
        <v>1.5714285714285707</v>
      </c>
      <c r="AC62" s="5">
        <v>18</v>
      </c>
      <c r="AD62" s="160">
        <f>+E62/AC62</f>
        <v>9.7222222222222224E-2</v>
      </c>
      <c r="AE62" s="4">
        <f>+AE61</f>
        <v>1.75</v>
      </c>
      <c r="AF62" s="161">
        <f>+AE62/AC62</f>
        <v>9.7222222222222224E-2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6</v>
      </c>
      <c r="H63" s="173"/>
      <c r="I63" s="174"/>
      <c r="J63" s="154">
        <f>+J61</f>
        <v>0</v>
      </c>
      <c r="L63" s="151">
        <f>+L62</f>
        <v>1</v>
      </c>
      <c r="M63" s="173">
        <v>6</v>
      </c>
      <c r="N63" s="174">
        <v>9.6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24.375</v>
      </c>
      <c r="V63" s="156">
        <f>+U63/E63</f>
        <v>13.928571428571429</v>
      </c>
      <c r="W63" s="157">
        <f>(+V63/C63)/L63</f>
        <v>13.928571428571429</v>
      </c>
      <c r="X63" s="30" t="s">
        <v>184</v>
      </c>
      <c r="Y63" s="50">
        <f>+U63+Q63</f>
        <v>24.375</v>
      </c>
      <c r="Z63" s="158">
        <f>+Y63/TOTAL_MEASUED_INCOME</f>
        <v>1.3900769888793841E-2</v>
      </c>
      <c r="AA63" s="159">
        <f>((+R63+V63)/C63)/(+G63+L63)</f>
        <v>1.989795918367347</v>
      </c>
      <c r="AC63" s="175">
        <v>18</v>
      </c>
      <c r="AD63" s="160">
        <f>+E63/AC63</f>
        <v>9.7222222222222224E-2</v>
      </c>
      <c r="AE63" s="4">
        <f>+AE62</f>
        <v>1.75</v>
      </c>
      <c r="AF63" s="161">
        <f>+AE63/AC63</f>
        <v>9.7222222222222224E-2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15.085714285714284</v>
      </c>
      <c r="X64" s="30"/>
      <c r="Y64" s="50">
        <f>SUM(Y33:Y63)</f>
        <v>1099.5</v>
      </c>
      <c r="Z64" s="167">
        <f>SUM(Y59:Y63)/TOTAL_MEASUED_INCOME</f>
        <v>7.5278015397775871E-2</v>
      </c>
      <c r="AA64" s="168">
        <f>AVERAGE(AA59:AA63)</f>
        <v>2.1551020408163266</v>
      </c>
      <c r="AC64" s="120"/>
      <c r="AD64" s="179"/>
    </row>
    <row r="65" spans="1:31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C65" s="180"/>
    </row>
    <row r="66" spans="1:31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C66" s="120"/>
      <c r="AE66" s="23"/>
    </row>
    <row r="67" spans="1:31" ht="15.75" x14ac:dyDescent="0.25">
      <c r="A67" s="135">
        <f>+A30</f>
        <v>40358</v>
      </c>
      <c r="B67" s="12"/>
      <c r="C67" s="136">
        <f>+C30</f>
        <v>40363</v>
      </c>
      <c r="D67" s="136">
        <f>+D30</f>
        <v>40364</v>
      </c>
      <c r="E67" s="137">
        <f>+C67-A67+1</f>
        <v>6</v>
      </c>
      <c r="F67" s="51">
        <f>+D67-C67</f>
        <v>1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E67" s="23"/>
    </row>
    <row r="68" spans="1:31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E68" s="23"/>
    </row>
    <row r="69" spans="1:31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E69" s="23"/>
    </row>
    <row r="70" spans="1:31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6</v>
      </c>
      <c r="H70" s="152"/>
      <c r="I70" s="153"/>
      <c r="J70" s="154">
        <f>+J68</f>
        <v>0</v>
      </c>
      <c r="K70" s="178"/>
      <c r="L70" s="151">
        <f>+F67</f>
        <v>1</v>
      </c>
      <c r="M70" s="152">
        <v>2</v>
      </c>
      <c r="N70" s="153">
        <v>3.9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44.875</v>
      </c>
      <c r="V70" s="156">
        <f t="shared" ref="V70:V79" si="27">+U70/E70</f>
        <v>179.5</v>
      </c>
      <c r="W70" s="192">
        <f t="shared" ref="W70:W79" si="28">((+U70/+E70)*F70)/(L70+G70)</f>
        <v>179.5</v>
      </c>
      <c r="X70" s="193">
        <f>+X67*60</f>
        <v>840</v>
      </c>
      <c r="Y70" s="50">
        <f t="shared" ref="Y70:Y79" si="29">+U70+Q70</f>
        <v>44.875</v>
      </c>
      <c r="Z70" s="158">
        <f t="shared" ref="Z70:Z79" si="30">+Y70/TOTAL_MEASUED_INCOME</f>
        <v>2.5591673795266608E-2</v>
      </c>
      <c r="AA70" s="194">
        <f t="shared" ref="AA70:AA79" si="31">((+V70+R70)*F70)/(+X70*7)</f>
        <v>0.21369047619047618</v>
      </c>
      <c r="AC70" s="28"/>
    </row>
    <row r="71" spans="1:31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6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1</v>
      </c>
      <c r="M71" s="163">
        <v>3</v>
      </c>
      <c r="N71" s="164">
        <v>4.7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21.000000000000007</v>
      </c>
      <c r="V71" s="156">
        <f t="shared" si="27"/>
        <v>84.000000000000028</v>
      </c>
      <c r="W71" s="192">
        <f t="shared" si="28"/>
        <v>84.000000000000028</v>
      </c>
      <c r="X71" s="193">
        <f t="shared" ref="X71:X79" si="36">+X70</f>
        <v>840</v>
      </c>
      <c r="Y71" s="50">
        <f t="shared" si="29"/>
        <v>21.000000000000007</v>
      </c>
      <c r="Z71" s="158">
        <f t="shared" si="30"/>
        <v>1.1976047904191621E-2</v>
      </c>
      <c r="AA71" s="194">
        <f t="shared" si="31"/>
        <v>0.10000000000000003</v>
      </c>
      <c r="AC71" s="28"/>
    </row>
    <row r="72" spans="1:31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6</v>
      </c>
      <c r="H72" s="163"/>
      <c r="I72" s="164"/>
      <c r="J72" s="154">
        <f t="shared" si="33"/>
        <v>0</v>
      </c>
      <c r="K72" s="178"/>
      <c r="L72" s="151">
        <f t="shared" si="34"/>
        <v>1</v>
      </c>
      <c r="M72" s="163">
        <v>5</v>
      </c>
      <c r="N72" s="164">
        <v>5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40.375</v>
      </c>
      <c r="V72" s="156">
        <f t="shared" si="27"/>
        <v>161.5</v>
      </c>
      <c r="W72" s="192">
        <f t="shared" si="28"/>
        <v>161.5</v>
      </c>
      <c r="X72" s="193">
        <f t="shared" si="36"/>
        <v>840</v>
      </c>
      <c r="Y72" s="50">
        <f t="shared" si="29"/>
        <v>40.375</v>
      </c>
      <c r="Z72" s="158">
        <f t="shared" si="30"/>
        <v>2.3025377815796978E-2</v>
      </c>
      <c r="AA72" s="194">
        <f t="shared" si="31"/>
        <v>0.19226190476190477</v>
      </c>
      <c r="AC72" s="28"/>
    </row>
    <row r="73" spans="1:31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6</v>
      </c>
      <c r="H73" s="163"/>
      <c r="I73" s="164"/>
      <c r="J73" s="154">
        <f t="shared" si="33"/>
        <v>0</v>
      </c>
      <c r="K73" s="178"/>
      <c r="L73" s="151">
        <f t="shared" si="34"/>
        <v>1</v>
      </c>
      <c r="M73" s="163">
        <v>6</v>
      </c>
      <c r="N73" s="164">
        <v>7.8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23.499999999999996</v>
      </c>
      <c r="V73" s="156">
        <f t="shared" si="27"/>
        <v>93.999999999999986</v>
      </c>
      <c r="W73" s="192">
        <f t="shared" si="28"/>
        <v>93.999999999999986</v>
      </c>
      <c r="X73" s="193">
        <f t="shared" si="36"/>
        <v>840</v>
      </c>
      <c r="Y73" s="50">
        <f t="shared" si="29"/>
        <v>23.499999999999996</v>
      </c>
      <c r="Z73" s="158">
        <f t="shared" si="30"/>
        <v>1.3401767892785854E-2</v>
      </c>
      <c r="AA73" s="194">
        <f t="shared" si="31"/>
        <v>0.11190476190476188</v>
      </c>
      <c r="AC73" s="28"/>
    </row>
    <row r="74" spans="1:31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6</v>
      </c>
      <c r="H74" s="163"/>
      <c r="I74" s="164"/>
      <c r="J74" s="154">
        <f t="shared" si="33"/>
        <v>0</v>
      </c>
      <c r="K74" s="178"/>
      <c r="L74" s="151">
        <f t="shared" si="34"/>
        <v>1</v>
      </c>
      <c r="M74" s="163">
        <v>8</v>
      </c>
      <c r="N74" s="164">
        <v>10.4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43.250000000000014</v>
      </c>
      <c r="V74" s="156">
        <f t="shared" si="27"/>
        <v>173.00000000000006</v>
      </c>
      <c r="W74" s="192">
        <f t="shared" si="28"/>
        <v>173.00000000000006</v>
      </c>
      <c r="X74" s="193">
        <f t="shared" si="36"/>
        <v>840</v>
      </c>
      <c r="Y74" s="50">
        <f t="shared" si="29"/>
        <v>43.250000000000014</v>
      </c>
      <c r="Z74" s="158">
        <f t="shared" si="30"/>
        <v>2.4664955802680362E-2</v>
      </c>
      <c r="AA74" s="194">
        <f t="shared" si="31"/>
        <v>0.20595238095238103</v>
      </c>
      <c r="AC74" s="28"/>
    </row>
    <row r="75" spans="1:31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6</v>
      </c>
      <c r="H75" s="163"/>
      <c r="I75" s="164"/>
      <c r="J75" s="154">
        <f t="shared" si="33"/>
        <v>0</v>
      </c>
      <c r="K75" s="178"/>
      <c r="L75" s="151">
        <f t="shared" si="34"/>
        <v>1</v>
      </c>
      <c r="M75" s="163">
        <v>9</v>
      </c>
      <c r="N75" s="164">
        <v>14.3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24.875000000000007</v>
      </c>
      <c r="V75" s="156">
        <f t="shared" si="27"/>
        <v>99.500000000000028</v>
      </c>
      <c r="W75" s="192">
        <f t="shared" si="28"/>
        <v>99.500000000000028</v>
      </c>
      <c r="X75" s="193">
        <f t="shared" si="36"/>
        <v>840</v>
      </c>
      <c r="Y75" s="50">
        <f t="shared" si="29"/>
        <v>24.875000000000007</v>
      </c>
      <c r="Z75" s="158">
        <f t="shared" si="30"/>
        <v>1.4185913886512693E-2</v>
      </c>
      <c r="AA75" s="194">
        <f t="shared" si="31"/>
        <v>0.11845238095238099</v>
      </c>
      <c r="AC75" s="28"/>
    </row>
    <row r="76" spans="1:31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6</v>
      </c>
      <c r="H76" s="163"/>
      <c r="I76" s="164"/>
      <c r="J76" s="154">
        <f t="shared" si="33"/>
        <v>0</v>
      </c>
      <c r="K76" s="178"/>
      <c r="L76" s="151">
        <f t="shared" si="34"/>
        <v>1</v>
      </c>
      <c r="M76" s="163">
        <v>2</v>
      </c>
      <c r="N76" s="164">
        <v>3.8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44.75</v>
      </c>
      <c r="V76" s="156">
        <f t="shared" si="27"/>
        <v>179</v>
      </c>
      <c r="W76" s="192">
        <f t="shared" si="28"/>
        <v>179</v>
      </c>
      <c r="X76" s="193">
        <f t="shared" si="36"/>
        <v>840</v>
      </c>
      <c r="Y76" s="50">
        <f t="shared" si="29"/>
        <v>44.75</v>
      </c>
      <c r="Z76" s="158">
        <f t="shared" si="30"/>
        <v>2.5520387795836898E-2</v>
      </c>
      <c r="AA76" s="194">
        <f t="shared" si="31"/>
        <v>0.21309523809523809</v>
      </c>
      <c r="AC76" s="28"/>
    </row>
    <row r="77" spans="1:31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6</v>
      </c>
      <c r="H77" s="163"/>
      <c r="I77" s="164"/>
      <c r="J77" s="154">
        <f t="shared" si="33"/>
        <v>0</v>
      </c>
      <c r="K77" s="178"/>
      <c r="L77" s="151">
        <f t="shared" si="34"/>
        <v>1</v>
      </c>
      <c r="M77" s="163">
        <v>3</v>
      </c>
      <c r="N77" s="164">
        <v>5.7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22.375000000000007</v>
      </c>
      <c r="V77" s="156">
        <f t="shared" si="27"/>
        <v>89.500000000000028</v>
      </c>
      <c r="W77" s="192">
        <f t="shared" si="28"/>
        <v>89.500000000000028</v>
      </c>
      <c r="X77" s="193">
        <f t="shared" si="36"/>
        <v>840</v>
      </c>
      <c r="Y77" s="50">
        <f t="shared" si="29"/>
        <v>22.375000000000007</v>
      </c>
      <c r="Z77" s="158">
        <f t="shared" si="30"/>
        <v>1.2760193897918453E-2</v>
      </c>
      <c r="AA77" s="194">
        <f t="shared" si="31"/>
        <v>0.10654761904761909</v>
      </c>
      <c r="AC77" s="28"/>
    </row>
    <row r="78" spans="1:31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6</v>
      </c>
      <c r="H78" s="163"/>
      <c r="I78" s="164"/>
      <c r="J78" s="154">
        <f t="shared" si="33"/>
        <v>0</v>
      </c>
      <c r="K78" s="178"/>
      <c r="L78" s="151">
        <f t="shared" si="34"/>
        <v>1</v>
      </c>
      <c r="M78" s="163">
        <v>5</v>
      </c>
      <c r="N78" s="164">
        <v>8.1999999999999993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43.125</v>
      </c>
      <c r="V78" s="156">
        <f t="shared" si="27"/>
        <v>172.5</v>
      </c>
      <c r="W78" s="192">
        <f t="shared" si="28"/>
        <v>172.5</v>
      </c>
      <c r="X78" s="193">
        <f t="shared" si="36"/>
        <v>840</v>
      </c>
      <c r="Y78" s="50">
        <f t="shared" si="29"/>
        <v>43.125</v>
      </c>
      <c r="Z78" s="158">
        <f t="shared" si="30"/>
        <v>2.4593669803250642E-2</v>
      </c>
      <c r="AA78" s="194">
        <f t="shared" si="31"/>
        <v>0.20535714285714285</v>
      </c>
      <c r="AC78" s="28"/>
    </row>
    <row r="79" spans="1:31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6</v>
      </c>
      <c r="H79" s="163"/>
      <c r="I79" s="164"/>
      <c r="J79" s="154">
        <f t="shared" si="33"/>
        <v>0</v>
      </c>
      <c r="K79" s="178"/>
      <c r="L79" s="151">
        <f t="shared" si="34"/>
        <v>1</v>
      </c>
      <c r="M79" s="163">
        <v>7</v>
      </c>
      <c r="N79" s="164">
        <v>1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30.999999999999996</v>
      </c>
      <c r="V79" s="156">
        <f t="shared" si="27"/>
        <v>123.99999999999999</v>
      </c>
      <c r="W79" s="192">
        <f t="shared" si="28"/>
        <v>123.99999999999999</v>
      </c>
      <c r="X79" s="193">
        <f t="shared" si="36"/>
        <v>840</v>
      </c>
      <c r="Y79" s="50">
        <f t="shared" si="29"/>
        <v>30.999999999999996</v>
      </c>
      <c r="Z79" s="158">
        <f t="shared" si="30"/>
        <v>1.7678927858568574E-2</v>
      </c>
      <c r="AA79" s="194">
        <f t="shared" si="31"/>
        <v>0.14761904761904759</v>
      </c>
      <c r="AC79" s="28"/>
    </row>
    <row r="80" spans="1:31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0.19339891645280866</v>
      </c>
      <c r="AA80" s="194"/>
      <c r="AB80" s="199"/>
      <c r="AC80" s="28"/>
      <c r="AD80" s="199"/>
      <c r="AE80" s="199"/>
    </row>
    <row r="81" spans="1:31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6</v>
      </c>
      <c r="H81" s="163"/>
      <c r="I81" s="164"/>
      <c r="J81" s="154">
        <f>+J79</f>
        <v>0</v>
      </c>
      <c r="K81" s="178"/>
      <c r="L81" s="151">
        <f>+L79</f>
        <v>1</v>
      </c>
      <c r="M81" s="163">
        <v>0</v>
      </c>
      <c r="N81" s="164">
        <v>9.1999999999999993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11.5</v>
      </c>
      <c r="V81" s="156">
        <f t="shared" ref="V81:V86" si="40">+U81/E81</f>
        <v>46</v>
      </c>
      <c r="W81" s="192">
        <f t="shared" ref="W81:W86" si="41">((+U81/+E81)*F81)/(L81+G81)</f>
        <v>49.285714285714285</v>
      </c>
      <c r="X81" s="193">
        <f>+X79</f>
        <v>840</v>
      </c>
      <c r="Y81" s="50">
        <f t="shared" ref="Y81:Y86" si="42">+U81+Q81</f>
        <v>11.5</v>
      </c>
      <c r="Z81" s="158">
        <f t="shared" ref="Z81:Z86" si="43">+Y81/TOTAL_MEASUED_INCOME</f>
        <v>6.5583119475335046E-3</v>
      </c>
      <c r="AA81" s="194">
        <f t="shared" ref="AA81:AA86" si="44">((+V81+R81)*F81)/(+X81*7)</f>
        <v>5.8673469387755105E-2</v>
      </c>
      <c r="AB81" s="192"/>
      <c r="AC81" s="28"/>
      <c r="AD81" s="199"/>
      <c r="AE81" s="199"/>
    </row>
    <row r="82" spans="1:31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6</v>
      </c>
      <c r="H82" s="163"/>
      <c r="I82" s="164"/>
      <c r="J82" s="154">
        <f>+J81</f>
        <v>0</v>
      </c>
      <c r="K82" s="178"/>
      <c r="L82" s="151">
        <f>+L81</f>
        <v>1</v>
      </c>
      <c r="M82" s="163">
        <v>1</v>
      </c>
      <c r="N82" s="164">
        <v>3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12.25</v>
      </c>
      <c r="V82" s="156">
        <f t="shared" si="40"/>
        <v>49</v>
      </c>
      <c r="W82" s="192">
        <f t="shared" si="41"/>
        <v>52.5</v>
      </c>
      <c r="X82" s="193">
        <f>+X81</f>
        <v>840</v>
      </c>
      <c r="Y82" s="50">
        <f t="shared" si="42"/>
        <v>12.25</v>
      </c>
      <c r="Z82" s="158">
        <f t="shared" si="43"/>
        <v>6.9860279441117763E-3</v>
      </c>
      <c r="AA82" s="194">
        <f t="shared" si="44"/>
        <v>6.25E-2</v>
      </c>
      <c r="AB82" s="192"/>
      <c r="AC82" s="28"/>
      <c r="AD82" s="199"/>
      <c r="AE82" s="199"/>
    </row>
    <row r="83" spans="1:31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6</v>
      </c>
      <c r="H83" s="163"/>
      <c r="I83" s="164"/>
      <c r="J83" s="154">
        <f>+J82</f>
        <v>0</v>
      </c>
      <c r="K83" s="178"/>
      <c r="L83" s="151">
        <f>+L82</f>
        <v>1</v>
      </c>
      <c r="M83" s="163">
        <v>1</v>
      </c>
      <c r="N83" s="164">
        <v>14.7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14.625</v>
      </c>
      <c r="V83" s="156">
        <f t="shared" si="40"/>
        <v>58.5</v>
      </c>
      <c r="W83" s="192">
        <f t="shared" si="41"/>
        <v>62.678571428571431</v>
      </c>
      <c r="X83" s="193">
        <f>+X82</f>
        <v>840</v>
      </c>
      <c r="Y83" s="50">
        <f t="shared" si="42"/>
        <v>14.625</v>
      </c>
      <c r="Z83" s="158">
        <f t="shared" si="43"/>
        <v>8.3404619332763039E-3</v>
      </c>
      <c r="AA83" s="194">
        <f t="shared" si="44"/>
        <v>7.4617346938775517E-2</v>
      </c>
      <c r="AB83" s="192"/>
      <c r="AC83" s="28"/>
      <c r="AD83" s="199"/>
      <c r="AE83" s="199"/>
    </row>
    <row r="84" spans="1:31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6</v>
      </c>
      <c r="H84" s="163"/>
      <c r="I84" s="164"/>
      <c r="J84" s="154">
        <f>+J83</f>
        <v>0</v>
      </c>
      <c r="K84" s="178"/>
      <c r="L84" s="151">
        <f>+L83</f>
        <v>1</v>
      </c>
      <c r="M84" s="163">
        <v>2</v>
      </c>
      <c r="N84" s="164">
        <v>8.6999999999999993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12.500000000000004</v>
      </c>
      <c r="V84" s="156">
        <f t="shared" si="40"/>
        <v>50.000000000000014</v>
      </c>
      <c r="W84" s="192">
        <f t="shared" si="41"/>
        <v>53.571428571428591</v>
      </c>
      <c r="X84" s="193">
        <f>+X83</f>
        <v>840</v>
      </c>
      <c r="Y84" s="50">
        <f t="shared" si="42"/>
        <v>12.500000000000004</v>
      </c>
      <c r="Z84" s="158">
        <f t="shared" si="43"/>
        <v>7.1285999429712022E-3</v>
      </c>
      <c r="AA84" s="194">
        <f t="shared" si="44"/>
        <v>6.3775510204081648E-2</v>
      </c>
      <c r="AB84" s="192"/>
      <c r="AC84" s="28"/>
      <c r="AD84" s="199"/>
      <c r="AE84" s="199"/>
    </row>
    <row r="85" spans="1:31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6</v>
      </c>
      <c r="H85" s="163"/>
      <c r="I85" s="164"/>
      <c r="J85" s="154">
        <f>+J84</f>
        <v>0</v>
      </c>
      <c r="K85" s="178"/>
      <c r="L85" s="151">
        <f>+L84</f>
        <v>1</v>
      </c>
      <c r="M85" s="163">
        <v>3</v>
      </c>
      <c r="N85" s="164">
        <v>6.9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17.749999999999993</v>
      </c>
      <c r="V85" s="156">
        <f t="shared" si="40"/>
        <v>70.999999999999972</v>
      </c>
      <c r="W85" s="192">
        <f t="shared" si="41"/>
        <v>76.071428571428541</v>
      </c>
      <c r="X85" s="193">
        <f>+X84</f>
        <v>840</v>
      </c>
      <c r="Y85" s="50">
        <f t="shared" si="42"/>
        <v>17.749999999999993</v>
      </c>
      <c r="Z85" s="158">
        <f t="shared" si="43"/>
        <v>1.0122611919019101E-2</v>
      </c>
      <c r="AA85" s="194">
        <f t="shared" si="44"/>
        <v>9.056122448979588E-2</v>
      </c>
      <c r="AB85" s="192"/>
      <c r="AC85" s="28"/>
      <c r="AD85" s="199"/>
      <c r="AE85" s="199"/>
    </row>
    <row r="86" spans="1:31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6</v>
      </c>
      <c r="H86" s="163"/>
      <c r="I86" s="164"/>
      <c r="J86" s="154">
        <f>+J85</f>
        <v>0</v>
      </c>
      <c r="K86" s="178"/>
      <c r="L86" s="151">
        <f>+L85</f>
        <v>1</v>
      </c>
      <c r="M86" s="163">
        <v>4</v>
      </c>
      <c r="N86" s="164">
        <v>8.1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21.499999999999993</v>
      </c>
      <c r="V86" s="156">
        <f t="shared" si="40"/>
        <v>85.999999999999972</v>
      </c>
      <c r="W86" s="192">
        <f t="shared" si="41"/>
        <v>92.14285714285711</v>
      </c>
      <c r="X86" s="193">
        <f>+X85</f>
        <v>840</v>
      </c>
      <c r="Y86" s="50">
        <f t="shared" si="42"/>
        <v>21.499999999999993</v>
      </c>
      <c r="Z86" s="158">
        <f t="shared" si="43"/>
        <v>1.2261191901910461E-2</v>
      </c>
      <c r="AA86" s="194">
        <f t="shared" si="44"/>
        <v>0.10969387755102036</v>
      </c>
      <c r="AB86" s="192"/>
      <c r="AC86" s="28"/>
      <c r="AD86" s="199"/>
      <c r="AE86" s="199"/>
    </row>
    <row r="87" spans="1:31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5.1397205588822353E-2</v>
      </c>
      <c r="AA87" s="194"/>
      <c r="AB87" s="199"/>
      <c r="AC87" s="28"/>
      <c r="AD87" s="199"/>
      <c r="AE87" s="199"/>
    </row>
    <row r="88" spans="1:31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6</v>
      </c>
      <c r="H88" s="163"/>
      <c r="I88" s="164"/>
      <c r="J88" s="154">
        <f>+J86</f>
        <v>0</v>
      </c>
      <c r="K88" s="178"/>
      <c r="L88" s="151">
        <f>+L86</f>
        <v>1</v>
      </c>
      <c r="M88" s="163">
        <v>1</v>
      </c>
      <c r="N88" s="164">
        <v>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24</v>
      </c>
      <c r="V88" s="156">
        <f t="shared" ref="V88:V101" si="47">+U88/E88</f>
        <v>96</v>
      </c>
      <c r="W88" s="192">
        <f t="shared" ref="W88:W101" si="48">((+U88/+E88)*F88)/(L88+G88)</f>
        <v>96</v>
      </c>
      <c r="X88" s="193">
        <f>+X86</f>
        <v>840</v>
      </c>
      <c r="Y88" s="50">
        <f t="shared" ref="Y88:Y101" si="49">+U88+Q88</f>
        <v>24</v>
      </c>
      <c r="Z88" s="158">
        <f t="shared" ref="Z88:Z101" si="50">+Y88/TOTAL_MEASUED_INCOME</f>
        <v>1.3686911890504704E-2</v>
      </c>
      <c r="AA88" s="194">
        <f t="shared" ref="AA88:AA101" si="51">((+V88+R88)*F88)/(+X88*7)</f>
        <v>0.11428571428571428</v>
      </c>
      <c r="AB88" s="192"/>
      <c r="AC88" s="28"/>
      <c r="AD88" s="199"/>
      <c r="AE88" s="199"/>
    </row>
    <row r="89" spans="1:31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6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1</v>
      </c>
      <c r="M89" s="163">
        <v>1</v>
      </c>
      <c r="N89" s="164">
        <v>13.3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101" si="57">(((+M89+(N89/16))-O89)-((+M88+(N88/16))-O88))*20</f>
        <v>12.625000000000002</v>
      </c>
      <c r="V89" s="156">
        <f t="shared" si="47"/>
        <v>50.500000000000007</v>
      </c>
      <c r="W89" s="192">
        <f t="shared" si="48"/>
        <v>50.500000000000007</v>
      </c>
      <c r="X89" s="193">
        <f t="shared" ref="X89:X101" si="58">+X88</f>
        <v>840</v>
      </c>
      <c r="Y89" s="50">
        <f t="shared" si="49"/>
        <v>12.625000000000002</v>
      </c>
      <c r="Z89" s="158">
        <f t="shared" si="50"/>
        <v>7.1998859424009139E-3</v>
      </c>
      <c r="AA89" s="194">
        <f t="shared" si="51"/>
        <v>6.0119047619047628E-2</v>
      </c>
      <c r="AB89" s="192"/>
      <c r="AC89" s="28"/>
      <c r="AD89" s="199"/>
      <c r="AE89" s="199"/>
    </row>
    <row r="90" spans="1:31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6</v>
      </c>
      <c r="H90" s="163"/>
      <c r="I90" s="164"/>
      <c r="J90" s="154">
        <f t="shared" si="53"/>
        <v>0</v>
      </c>
      <c r="K90" s="178"/>
      <c r="L90" s="151">
        <f t="shared" si="54"/>
        <v>1</v>
      </c>
      <c r="M90" s="163">
        <v>3</v>
      </c>
      <c r="N90" s="164">
        <v>5.2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29.875000000000004</v>
      </c>
      <c r="V90" s="156">
        <f t="shared" si="47"/>
        <v>119.50000000000001</v>
      </c>
      <c r="W90" s="192">
        <f t="shared" si="48"/>
        <v>119.50000000000001</v>
      </c>
      <c r="X90" s="193">
        <f t="shared" si="58"/>
        <v>840</v>
      </c>
      <c r="Y90" s="50">
        <f t="shared" si="49"/>
        <v>29.875000000000004</v>
      </c>
      <c r="Z90" s="158">
        <f t="shared" si="50"/>
        <v>1.7037353863701171E-2</v>
      </c>
      <c r="AA90" s="194">
        <f t="shared" si="51"/>
        <v>0.14226190476190478</v>
      </c>
      <c r="AB90" s="192"/>
      <c r="AC90" s="28"/>
      <c r="AD90" s="199"/>
      <c r="AE90" s="199"/>
    </row>
    <row r="91" spans="1:31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6</v>
      </c>
      <c r="H91" s="163"/>
      <c r="I91" s="164"/>
      <c r="J91" s="154">
        <f t="shared" si="53"/>
        <v>0</v>
      </c>
      <c r="K91" s="178"/>
      <c r="L91" s="151">
        <f t="shared" si="54"/>
        <v>1</v>
      </c>
      <c r="M91" s="163">
        <v>4</v>
      </c>
      <c r="N91" s="164">
        <v>1.2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15</v>
      </c>
      <c r="V91" s="156">
        <f t="shared" si="47"/>
        <v>60</v>
      </c>
      <c r="W91" s="192">
        <f t="shared" si="48"/>
        <v>60</v>
      </c>
      <c r="X91" s="193">
        <f t="shared" si="58"/>
        <v>840</v>
      </c>
      <c r="Y91" s="50">
        <f t="shared" si="49"/>
        <v>15</v>
      </c>
      <c r="Z91" s="158">
        <f t="shared" si="50"/>
        <v>8.5543199315654406E-3</v>
      </c>
      <c r="AA91" s="194">
        <f t="shared" si="51"/>
        <v>7.1428571428571425E-2</v>
      </c>
      <c r="AB91" s="192"/>
      <c r="AC91" s="28"/>
      <c r="AD91" s="199"/>
      <c r="AE91" s="199"/>
    </row>
    <row r="92" spans="1:31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6</v>
      </c>
      <c r="H92" s="163"/>
      <c r="I92" s="164"/>
      <c r="J92" s="154">
        <f t="shared" si="53"/>
        <v>0</v>
      </c>
      <c r="K92" s="178"/>
      <c r="L92" s="151">
        <f t="shared" si="54"/>
        <v>1</v>
      </c>
      <c r="M92" s="163">
        <v>5</v>
      </c>
      <c r="N92" s="164">
        <v>11.8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33.249999999999993</v>
      </c>
      <c r="V92" s="156">
        <f t="shared" si="47"/>
        <v>132.99999999999997</v>
      </c>
      <c r="W92" s="192">
        <f t="shared" si="48"/>
        <v>132.99999999999997</v>
      </c>
      <c r="X92" s="193">
        <f t="shared" si="58"/>
        <v>840</v>
      </c>
      <c r="Y92" s="50">
        <f t="shared" si="49"/>
        <v>33.249999999999993</v>
      </c>
      <c r="Z92" s="158">
        <f t="shared" si="50"/>
        <v>1.8962075848303388E-2</v>
      </c>
      <c r="AA92" s="194">
        <f t="shared" si="51"/>
        <v>0.1583333333333333</v>
      </c>
      <c r="AB92" s="192"/>
      <c r="AC92" s="28"/>
      <c r="AD92" s="199"/>
      <c r="AE92" s="199"/>
    </row>
    <row r="93" spans="1:31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6</v>
      </c>
      <c r="H93" s="163"/>
      <c r="I93" s="164"/>
      <c r="J93" s="154">
        <f t="shared" si="53"/>
        <v>0</v>
      </c>
      <c r="K93" s="178"/>
      <c r="L93" s="151">
        <f t="shared" si="54"/>
        <v>1</v>
      </c>
      <c r="M93" s="163">
        <v>6</v>
      </c>
      <c r="N93" s="164">
        <v>8.1999999999999993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15.500000000000007</v>
      </c>
      <c r="V93" s="156">
        <f t="shared" si="47"/>
        <v>62.000000000000028</v>
      </c>
      <c r="W93" s="192">
        <f t="shared" si="48"/>
        <v>62.000000000000036</v>
      </c>
      <c r="X93" s="193">
        <f t="shared" si="58"/>
        <v>840</v>
      </c>
      <c r="Y93" s="50">
        <f t="shared" si="49"/>
        <v>15.500000000000007</v>
      </c>
      <c r="Z93" s="158">
        <f t="shared" si="50"/>
        <v>8.8394639292842924E-3</v>
      </c>
      <c r="AA93" s="194">
        <f t="shared" si="51"/>
        <v>7.3809523809523853E-2</v>
      </c>
      <c r="AB93" s="192"/>
      <c r="AC93" s="28"/>
      <c r="AD93" s="199"/>
      <c r="AE93" s="199"/>
    </row>
    <row r="94" spans="1:31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6</v>
      </c>
      <c r="H94" s="163"/>
      <c r="I94" s="164"/>
      <c r="J94" s="154">
        <f t="shared" si="53"/>
        <v>0</v>
      </c>
      <c r="K94" s="178"/>
      <c r="L94" s="151">
        <f t="shared" si="54"/>
        <v>1</v>
      </c>
      <c r="M94" s="163">
        <v>7</v>
      </c>
      <c r="N94" s="164">
        <v>14.6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27.999999999999989</v>
      </c>
      <c r="V94" s="156">
        <f t="shared" si="47"/>
        <v>111.99999999999996</v>
      </c>
      <c r="W94" s="192">
        <f t="shared" si="48"/>
        <v>111.99999999999996</v>
      </c>
      <c r="X94" s="193">
        <f t="shared" si="58"/>
        <v>840</v>
      </c>
      <c r="Y94" s="50">
        <f t="shared" si="49"/>
        <v>27.999999999999989</v>
      </c>
      <c r="Z94" s="158">
        <f t="shared" si="50"/>
        <v>1.5968063872255484E-2</v>
      </c>
      <c r="AA94" s="194">
        <f t="shared" si="51"/>
        <v>0.13333333333333328</v>
      </c>
      <c r="AB94" s="192"/>
      <c r="AC94" s="28"/>
      <c r="AD94" s="199"/>
      <c r="AE94" s="199"/>
    </row>
    <row r="95" spans="1:31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6</v>
      </c>
      <c r="H95" s="163"/>
      <c r="I95" s="164"/>
      <c r="J95" s="154">
        <f t="shared" si="53"/>
        <v>0</v>
      </c>
      <c r="K95" s="178"/>
      <c r="L95" s="151">
        <f t="shared" si="54"/>
        <v>1</v>
      </c>
      <c r="M95" s="163">
        <v>8</v>
      </c>
      <c r="N95" s="164">
        <v>11.3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65">
        <f t="shared" si="57"/>
        <v>15.875000000000021</v>
      </c>
      <c r="V95" s="156">
        <f t="shared" si="47"/>
        <v>63.500000000000085</v>
      </c>
      <c r="W95" s="192">
        <f t="shared" si="48"/>
        <v>63.500000000000078</v>
      </c>
      <c r="X95" s="193">
        <f t="shared" si="58"/>
        <v>840</v>
      </c>
      <c r="Y95" s="50">
        <f t="shared" si="49"/>
        <v>15.875000000000021</v>
      </c>
      <c r="Z95" s="158">
        <f t="shared" si="50"/>
        <v>9.0533219275734361E-3</v>
      </c>
      <c r="AA95" s="194">
        <f t="shared" si="51"/>
        <v>7.5595238095238187E-2</v>
      </c>
      <c r="AB95" s="192"/>
      <c r="AC95" s="28"/>
      <c r="AD95" s="199"/>
      <c r="AE95" s="199"/>
    </row>
    <row r="96" spans="1:31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6</v>
      </c>
      <c r="H96" s="163"/>
      <c r="I96" s="164"/>
      <c r="J96" s="154">
        <f t="shared" si="53"/>
        <v>0</v>
      </c>
      <c r="K96" s="178"/>
      <c r="L96" s="151">
        <f t="shared" si="54"/>
        <v>1</v>
      </c>
      <c r="M96" s="163">
        <v>9</v>
      </c>
      <c r="N96" s="164">
        <v>1.3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7.5</v>
      </c>
      <c r="V96" s="156">
        <f t="shared" si="47"/>
        <v>30</v>
      </c>
      <c r="W96" s="192">
        <f t="shared" si="48"/>
        <v>32.142857142857146</v>
      </c>
      <c r="X96" s="193">
        <f t="shared" si="58"/>
        <v>840</v>
      </c>
      <c r="Y96" s="50">
        <f t="shared" si="49"/>
        <v>7.5</v>
      </c>
      <c r="Z96" s="158">
        <f t="shared" si="50"/>
        <v>4.2771599657827203E-3</v>
      </c>
      <c r="AA96" s="194">
        <f t="shared" si="51"/>
        <v>3.826530612244898E-2</v>
      </c>
      <c r="AB96" s="192"/>
      <c r="AC96" s="28"/>
      <c r="AD96" s="199"/>
      <c r="AE96" s="199"/>
    </row>
    <row r="97" spans="1:31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6</v>
      </c>
      <c r="H97" s="163"/>
      <c r="I97" s="164"/>
      <c r="J97" s="154">
        <f t="shared" si="53"/>
        <v>0</v>
      </c>
      <c r="K97" s="178"/>
      <c r="L97" s="151">
        <f t="shared" si="54"/>
        <v>1</v>
      </c>
      <c r="M97" s="163">
        <v>9</v>
      </c>
      <c r="N97" s="164">
        <v>6.9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 t="shared" si="57"/>
        <v>6.9999999999999929</v>
      </c>
      <c r="V97" s="156">
        <f t="shared" si="47"/>
        <v>27.999999999999972</v>
      </c>
      <c r="W97" s="192">
        <f t="shared" si="48"/>
        <v>29.999999999999968</v>
      </c>
      <c r="X97" s="193">
        <f t="shared" si="58"/>
        <v>840</v>
      </c>
      <c r="Y97" s="50">
        <f t="shared" si="49"/>
        <v>6.9999999999999929</v>
      </c>
      <c r="Z97" s="158">
        <f t="shared" si="50"/>
        <v>3.9920159680638685E-3</v>
      </c>
      <c r="AA97" s="194">
        <f t="shared" si="51"/>
        <v>3.5714285714285678E-2</v>
      </c>
      <c r="AB97" s="192"/>
      <c r="AC97" s="28"/>
      <c r="AD97" s="199"/>
      <c r="AE97" s="199"/>
    </row>
    <row r="98" spans="1:31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6</v>
      </c>
      <c r="H98" s="163"/>
      <c r="I98" s="164"/>
      <c r="J98" s="154">
        <f t="shared" si="53"/>
        <v>0</v>
      </c>
      <c r="K98" s="178"/>
      <c r="L98" s="151">
        <f t="shared" si="54"/>
        <v>1</v>
      </c>
      <c r="M98" s="163">
        <v>9</v>
      </c>
      <c r="N98" s="164">
        <v>13.9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 t="shared" si="57"/>
        <v>8.75</v>
      </c>
      <c r="V98" s="156">
        <f t="shared" si="47"/>
        <v>35</v>
      </c>
      <c r="W98" s="192">
        <f t="shared" si="48"/>
        <v>37.5</v>
      </c>
      <c r="X98" s="193">
        <f t="shared" si="58"/>
        <v>840</v>
      </c>
      <c r="Y98" s="50">
        <f t="shared" si="49"/>
        <v>8.75</v>
      </c>
      <c r="Z98" s="158">
        <f t="shared" si="50"/>
        <v>4.9900199600798403E-3</v>
      </c>
      <c r="AA98" s="194">
        <f t="shared" si="51"/>
        <v>4.4642857142857144E-2</v>
      </c>
      <c r="AB98" s="192"/>
      <c r="AC98" s="28"/>
      <c r="AD98" s="199"/>
      <c r="AE98" s="199"/>
    </row>
    <row r="99" spans="1:31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6</v>
      </c>
      <c r="H99" s="163"/>
      <c r="I99" s="164"/>
      <c r="J99" s="154">
        <f t="shared" si="53"/>
        <v>0</v>
      </c>
      <c r="K99" s="178"/>
      <c r="L99" s="151">
        <f t="shared" si="54"/>
        <v>1</v>
      </c>
      <c r="M99" s="163">
        <v>10</v>
      </c>
      <c r="N99" s="164">
        <v>4.9000000000000004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 t="shared" si="57"/>
        <v>8.75</v>
      </c>
      <c r="V99" s="156">
        <f t="shared" si="47"/>
        <v>35</v>
      </c>
      <c r="W99" s="192">
        <f t="shared" si="48"/>
        <v>37.5</v>
      </c>
      <c r="X99" s="193">
        <f t="shared" si="58"/>
        <v>840</v>
      </c>
      <c r="Y99" s="50">
        <f t="shared" si="49"/>
        <v>8.75</v>
      </c>
      <c r="Z99" s="158">
        <f t="shared" si="50"/>
        <v>4.9900199600798403E-3</v>
      </c>
      <c r="AA99" s="194">
        <f t="shared" si="51"/>
        <v>4.4642857142857144E-2</v>
      </c>
      <c r="AB99" s="192"/>
      <c r="AC99" s="28"/>
      <c r="AD99" s="199"/>
      <c r="AE99" s="199"/>
    </row>
    <row r="100" spans="1:31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6</v>
      </c>
      <c r="H100" s="163"/>
      <c r="I100" s="164"/>
      <c r="J100" s="154">
        <f t="shared" si="53"/>
        <v>0</v>
      </c>
      <c r="K100" s="178"/>
      <c r="L100" s="151">
        <f t="shared" si="54"/>
        <v>1</v>
      </c>
      <c r="M100" s="163">
        <v>10</v>
      </c>
      <c r="N100" s="164">
        <v>14.2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 t="shared" si="57"/>
        <v>11.624999999999979</v>
      </c>
      <c r="V100" s="156">
        <f t="shared" si="47"/>
        <v>46.499999999999915</v>
      </c>
      <c r="W100" s="192">
        <f t="shared" si="48"/>
        <v>49.821428571428484</v>
      </c>
      <c r="X100" s="193">
        <f t="shared" si="58"/>
        <v>840</v>
      </c>
      <c r="Y100" s="50">
        <f t="shared" si="49"/>
        <v>11.624999999999979</v>
      </c>
      <c r="Z100" s="158">
        <f t="shared" si="50"/>
        <v>6.6295979469632041E-3</v>
      </c>
      <c r="AA100" s="194">
        <f t="shared" si="51"/>
        <v>5.9311224489795811E-2</v>
      </c>
      <c r="AB100" s="192"/>
      <c r="AC100" s="28"/>
      <c r="AD100" s="199"/>
      <c r="AE100" s="199"/>
    </row>
    <row r="101" spans="1:31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6</v>
      </c>
      <c r="H101" s="173"/>
      <c r="I101" s="203"/>
      <c r="J101" s="154">
        <f t="shared" si="53"/>
        <v>0</v>
      </c>
      <c r="K101" s="178"/>
      <c r="L101" s="151">
        <f t="shared" si="54"/>
        <v>1</v>
      </c>
      <c r="M101" s="173">
        <v>11</v>
      </c>
      <c r="N101" s="203">
        <v>3.8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 t="shared" si="57"/>
        <v>7.0000000000000284</v>
      </c>
      <c r="V101" s="156">
        <f t="shared" si="47"/>
        <v>28.000000000000114</v>
      </c>
      <c r="W101" s="192">
        <f t="shared" si="48"/>
        <v>30.000000000000121</v>
      </c>
      <c r="X101" s="193">
        <f t="shared" si="58"/>
        <v>840</v>
      </c>
      <c r="Y101" s="50">
        <f t="shared" si="49"/>
        <v>7.0000000000000284</v>
      </c>
      <c r="Z101" s="158">
        <f t="shared" si="50"/>
        <v>3.9920159680638884E-3</v>
      </c>
      <c r="AA101" s="194">
        <f t="shared" si="51"/>
        <v>3.5714285714285858E-2</v>
      </c>
      <c r="AB101" s="192"/>
      <c r="AC101" s="204"/>
      <c r="AD101" s="199"/>
      <c r="AE101" s="199"/>
    </row>
    <row r="102" spans="1:31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18593.5</v>
      </c>
      <c r="X102" s="64"/>
      <c r="Y102" s="211">
        <f>SUM(Y70:Y101)</f>
        <v>654</v>
      </c>
      <c r="Z102" s="212">
        <f>SUM(Y88:Y101)/TOTAL_MEASUED_INCOME</f>
        <v>0.12817222697462219</v>
      </c>
      <c r="AA102" s="123"/>
      <c r="AC102" s="28"/>
    </row>
    <row r="103" spans="1:31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C103" s="28"/>
    </row>
    <row r="104" spans="1:31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40363</v>
      </c>
      <c r="R104" s="217"/>
      <c r="S104" s="19"/>
      <c r="T104" s="132" t="s">
        <v>195</v>
      </c>
      <c r="U104" s="216">
        <f>+D30</f>
        <v>40364</v>
      </c>
      <c r="V104" s="218"/>
      <c r="W104" s="19"/>
      <c r="X104" s="132"/>
      <c r="Y104" s="219" t="s">
        <v>196</v>
      </c>
      <c r="Z104" s="219"/>
      <c r="AA104" s="134"/>
      <c r="AC104" s="28"/>
    </row>
    <row r="105" spans="1:31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C105" s="28"/>
    </row>
    <row r="106" spans="1:31" s="12" customFormat="1" x14ac:dyDescent="0.2">
      <c r="A106" s="28" t="s">
        <v>197</v>
      </c>
      <c r="B106" s="45">
        <f>+U14</f>
        <v>1609.7616201703863</v>
      </c>
      <c r="D106" s="29" t="s">
        <v>198</v>
      </c>
      <c r="E106" s="224">
        <v>0</v>
      </c>
      <c r="F106" s="225">
        <v>0</v>
      </c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247.375</v>
      </c>
      <c r="R106" s="222"/>
      <c r="T106" s="30" t="s">
        <v>199</v>
      </c>
      <c r="U106" s="226">
        <f>SUM(U33:U63)</f>
        <v>852.125</v>
      </c>
      <c r="V106" s="227"/>
      <c r="W106" s="45"/>
      <c r="X106" s="30" t="s">
        <v>199</v>
      </c>
      <c r="Y106" s="71">
        <f>+U106+Q106</f>
        <v>1099.5</v>
      </c>
      <c r="Z106" s="228">
        <f>+Y106/Y113</f>
        <v>0.6270316509837468</v>
      </c>
      <c r="AA106" s="32"/>
      <c r="AC106" s="28"/>
    </row>
    <row r="107" spans="1:31" s="12" customFormat="1" ht="13.5" thickBot="1" x14ac:dyDescent="0.25">
      <c r="A107" s="28" t="s">
        <v>200</v>
      </c>
      <c r="B107" s="45">
        <f>+Y14</f>
        <v>2302.5951048296138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654</v>
      </c>
      <c r="V107" s="231"/>
      <c r="W107" s="45"/>
      <c r="X107" s="64" t="s">
        <v>201</v>
      </c>
      <c r="Y107" s="66">
        <f>+U107+Q107</f>
        <v>654</v>
      </c>
      <c r="Z107" s="232">
        <f>+Y107/Y113</f>
        <v>0.3729683490162532</v>
      </c>
      <c r="AA107" s="32"/>
      <c r="AC107" s="28"/>
    </row>
    <row r="108" spans="1:31" s="12" customFormat="1" x14ac:dyDescent="0.2">
      <c r="A108" s="28" t="s">
        <v>202</v>
      </c>
      <c r="B108" s="45">
        <f>+Y113</f>
        <v>1753.5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247.375</v>
      </c>
      <c r="R108" s="222"/>
      <c r="U108" s="235">
        <f>SUM(U106:U107)</f>
        <v>1506.125</v>
      </c>
      <c r="V108" s="227"/>
      <c r="W108" s="198"/>
      <c r="X108" s="193"/>
      <c r="Y108" s="236">
        <f>SUM(Y106:Y107)</f>
        <v>1753.5</v>
      </c>
      <c r="Z108" s="237"/>
      <c r="AA108" s="238"/>
      <c r="AC108" s="28"/>
    </row>
    <row r="109" spans="1:31" s="12" customFormat="1" x14ac:dyDescent="0.2">
      <c r="A109" s="28" t="s">
        <v>203</v>
      </c>
      <c r="B109" s="45">
        <f>+Y120</f>
        <v>1798.25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C109" s="28"/>
    </row>
    <row r="110" spans="1:31" s="12" customFormat="1" x14ac:dyDescent="0.2">
      <c r="A110" s="30" t="s">
        <v>206</v>
      </c>
      <c r="B110" s="244">
        <f>+Z107</f>
        <v>0.3729683490162532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C110" s="28"/>
    </row>
    <row r="111" spans="1:31" s="12" customFormat="1" x14ac:dyDescent="0.2">
      <c r="A111" s="30" t="s">
        <v>207</v>
      </c>
      <c r="B111" s="244">
        <f>+AA14</f>
        <v>0.21185418214744131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C111" s="28"/>
    </row>
    <row r="112" spans="1:31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C112" s="28"/>
    </row>
    <row r="113" spans="1:29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/>
      <c r="U113" s="241"/>
      <c r="V113" s="222"/>
      <c r="X113" s="249" t="s">
        <v>211</v>
      </c>
      <c r="Y113" s="180">
        <f>+Y108+Y111</f>
        <v>1753.5</v>
      </c>
      <c r="AA113" s="238"/>
      <c r="AC113" s="28"/>
    </row>
    <row r="114" spans="1:29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R114" s="222"/>
      <c r="S114" s="30">
        <f>+V114-O114</f>
        <v>328</v>
      </c>
      <c r="U114" s="98">
        <f>+S114*1</f>
        <v>328</v>
      </c>
      <c r="V114" s="251">
        <v>328</v>
      </c>
      <c r="W114" s="252">
        <f>+V114*1</f>
        <v>328</v>
      </c>
      <c r="X114" s="145" t="s">
        <v>117</v>
      </c>
      <c r="Y114" s="146" t="s">
        <v>118</v>
      </c>
      <c r="Z114" s="48"/>
      <c r="AA114" s="253"/>
      <c r="AB114" s="251"/>
      <c r="AC114" s="28"/>
    </row>
    <row r="115" spans="1:29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93</v>
      </c>
      <c r="U115" s="98">
        <f>+S115*5</f>
        <v>465</v>
      </c>
      <c r="V115" s="251">
        <v>93</v>
      </c>
      <c r="W115" s="252">
        <f>+V115*5</f>
        <v>465</v>
      </c>
      <c r="X115" s="224"/>
      <c r="Y115" s="225"/>
      <c r="Z115" s="239">
        <v>0</v>
      </c>
      <c r="AA115" s="253"/>
      <c r="AB115" s="251"/>
      <c r="AC115" s="28"/>
    </row>
    <row r="116" spans="1:29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29</v>
      </c>
      <c r="U116" s="98">
        <f>+S116*10</f>
        <v>290</v>
      </c>
      <c r="V116" s="251">
        <v>29</v>
      </c>
      <c r="W116" s="252">
        <f>+V116*10</f>
        <v>290</v>
      </c>
      <c r="Y116" s="48"/>
      <c r="Z116" s="239"/>
      <c r="AA116" s="32"/>
      <c r="AB116" s="251"/>
      <c r="AC116" s="28"/>
    </row>
    <row r="117" spans="1:29" s="12" customFormat="1" ht="13.5" thickBot="1" x14ac:dyDescent="0.25">
      <c r="D117" s="119"/>
      <c r="E117" s="256">
        <f>+X117+E106 -2</f>
        <v>8</v>
      </c>
      <c r="F117" s="225">
        <f>+Y117+F106</f>
        <v>12.2</v>
      </c>
      <c r="G117" s="257">
        <f>((+E117+(F117/16)))*20</f>
        <v>175.25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25</v>
      </c>
      <c r="T117" s="61"/>
      <c r="U117" s="259">
        <f>+S117*20</f>
        <v>500</v>
      </c>
      <c r="V117" s="251">
        <v>25</v>
      </c>
      <c r="W117" s="260">
        <f>+V117*20</f>
        <v>500</v>
      </c>
      <c r="X117" s="224">
        <v>10</v>
      </c>
      <c r="Y117" s="225">
        <v>12.2</v>
      </c>
      <c r="Z117" s="239" t="s">
        <v>217</v>
      </c>
      <c r="AA117" s="261"/>
      <c r="AB117" s="251"/>
      <c r="AC117" s="28"/>
    </row>
    <row r="118" spans="1:29" s="12" customFormat="1" ht="13.5" x14ac:dyDescent="0.25">
      <c r="D118" s="119"/>
      <c r="F118" s="35">
        <f>((+E117+(F117/16)))*20</f>
        <v>175.25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1583</v>
      </c>
      <c r="V118" s="222"/>
      <c r="W118" s="45">
        <f>SUM(W114:W117)</f>
        <v>1583</v>
      </c>
      <c r="Y118" s="48">
        <f>((+X117+(Y117/16)))*20</f>
        <v>215.25</v>
      </c>
      <c r="Z118" s="239" t="s">
        <v>217</v>
      </c>
      <c r="AA118" s="253">
        <f>+Y118+Y116</f>
        <v>215.25</v>
      </c>
      <c r="AC118" s="28"/>
    </row>
    <row r="119" spans="1:29" s="12" customFormat="1" ht="14.25" thickBot="1" x14ac:dyDescent="0.3">
      <c r="D119" s="119"/>
      <c r="E119" s="116"/>
      <c r="F119" s="263">
        <f>+Y119</f>
        <v>1583</v>
      </c>
      <c r="G119" s="37" t="s">
        <v>219</v>
      </c>
      <c r="H119" s="45"/>
      <c r="J119" s="220"/>
      <c r="M119" s="29"/>
      <c r="N119" s="30"/>
      <c r="O119" s="224"/>
      <c r="Q119" s="98"/>
      <c r="R119" s="222"/>
      <c r="S119" s="256"/>
      <c r="U119" s="98"/>
      <c r="V119" s="264"/>
      <c r="W119" s="252"/>
      <c r="Y119" s="205">
        <f>SUM(W114:W117)</f>
        <v>1583</v>
      </c>
      <c r="Z119" s="239" t="s">
        <v>220</v>
      </c>
      <c r="AA119" s="253"/>
      <c r="AC119" s="28"/>
    </row>
    <row r="120" spans="1:29" s="12" customFormat="1" ht="13.5" x14ac:dyDescent="0.25">
      <c r="D120" s="29"/>
      <c r="E120" s="48"/>
      <c r="F120" s="265">
        <f>SUM(F118:F119)</f>
        <v>1758.25</v>
      </c>
      <c r="G120" s="240" t="s">
        <v>213</v>
      </c>
      <c r="H120" s="51"/>
      <c r="I120" s="51"/>
      <c r="J120" s="266"/>
      <c r="M120" s="29"/>
      <c r="P120" s="30" t="s">
        <v>221</v>
      </c>
      <c r="Q120" s="241">
        <f>+Q118*2</f>
        <v>0</v>
      </c>
      <c r="R120" s="222"/>
      <c r="S120" s="30" t="s">
        <v>221</v>
      </c>
      <c r="T120" s="28" t="s">
        <v>222</v>
      </c>
      <c r="U120" s="267">
        <f>+U118*2</f>
        <v>3166</v>
      </c>
      <c r="V120" s="268"/>
      <c r="W120" s="199"/>
      <c r="Y120" s="269">
        <f>SUM(Y118:Y119)+Y116</f>
        <v>1798.25</v>
      </c>
      <c r="Z120" s="249"/>
      <c r="AA120" s="220"/>
      <c r="AC120" s="28"/>
    </row>
    <row r="121" spans="1:29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271"/>
      <c r="N121" s="272"/>
      <c r="O121" s="137"/>
      <c r="P121" s="137"/>
      <c r="Q121" s="273"/>
      <c r="R121" s="222"/>
      <c r="T121" s="28" t="s">
        <v>223</v>
      </c>
      <c r="U121" s="274"/>
      <c r="V121" s="275"/>
      <c r="W121" s="242"/>
      <c r="X121" s="242"/>
      <c r="Y121" s="276" t="s">
        <v>224</v>
      </c>
      <c r="Z121" s="242"/>
      <c r="AA121" s="238"/>
      <c r="AC121" s="28"/>
    </row>
    <row r="122" spans="1:29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284"/>
      <c r="N122" s="61"/>
      <c r="O122" s="61"/>
      <c r="P122" s="61"/>
      <c r="Q122" s="285"/>
      <c r="R122" s="286"/>
      <c r="S122" s="61"/>
      <c r="T122" s="205"/>
      <c r="U122" s="285"/>
      <c r="V122" s="230"/>
      <c r="W122" s="287" t="s">
        <v>226</v>
      </c>
      <c r="X122" s="288"/>
      <c r="Y122" s="289">
        <f>-(+Y113-Y120)</f>
        <v>44.75</v>
      </c>
      <c r="Z122" s="289"/>
      <c r="AA122" s="290"/>
      <c r="AB122" s="23"/>
      <c r="AC122" s="28"/>
    </row>
    <row r="123" spans="1:29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8"/>
    </row>
    <row r="124" spans="1:29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/>
      <c r="M124" s="297"/>
      <c r="N124" s="296"/>
      <c r="O124" s="297"/>
      <c r="P124" s="297"/>
      <c r="Q124" s="297"/>
      <c r="R124" s="297"/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8"/>
    </row>
    <row r="125" spans="1:29" s="12" customFormat="1" x14ac:dyDescent="0.2">
      <c r="A125" s="277"/>
      <c r="B125" s="277"/>
      <c r="C125" s="23"/>
      <c r="D125" s="283"/>
      <c r="E125" s="293"/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8"/>
    </row>
    <row r="126" spans="1:29" x14ac:dyDescent="0.2">
      <c r="E126" s="303"/>
      <c r="J126" s="154"/>
      <c r="K126" s="222"/>
      <c r="L126" s="152">
        <v>6</v>
      </c>
      <c r="M126" s="153">
        <v>8.1999999999999993</v>
      </c>
      <c r="N126" s="12"/>
      <c r="O126" s="155">
        <f>((+L126+(M126/16))-J126)*20</f>
        <v>130.25</v>
      </c>
      <c r="P126" s="12"/>
      <c r="Q126" s="12"/>
      <c r="R126" s="304">
        <v>-1</v>
      </c>
      <c r="S126" s="153">
        <v>-14.8</v>
      </c>
      <c r="T126" s="154"/>
      <c r="U126" s="155">
        <f>((+R126+(S126/16))-T126)*20</f>
        <v>-38.5</v>
      </c>
      <c r="V126" s="45">
        <f t="shared" ref="V126:V131" si="59">+U126+O126</f>
        <v>91.75</v>
      </c>
      <c r="W126" s="30">
        <f t="shared" ref="W126:W131" si="60">+V126/20</f>
        <v>4.5875000000000004</v>
      </c>
      <c r="X126" s="110">
        <f t="shared" ref="X126:X131" si="61">CEILING(+W126,1)</f>
        <v>5</v>
      </c>
      <c r="Y126" s="31">
        <f t="shared" ref="Y126:Y131" si="62">+W126+1-X126</f>
        <v>0.58750000000000036</v>
      </c>
      <c r="Z126" s="305">
        <f t="shared" ref="Z126:Z131" si="63">CEILING(+W126,1)-1</f>
        <v>4</v>
      </c>
      <c r="AA126" s="306">
        <f t="shared" ref="AA126:AA131" si="64">+Y126/0.0625</f>
        <v>9.4000000000000057</v>
      </c>
    </row>
    <row r="127" spans="1:29" x14ac:dyDescent="0.2">
      <c r="E127" s="303"/>
      <c r="J127" s="154"/>
      <c r="K127" s="222"/>
      <c r="L127" s="152">
        <v>0</v>
      </c>
      <c r="M127" s="153">
        <v>0</v>
      </c>
      <c r="N127" s="12"/>
      <c r="O127" s="165">
        <f>(((+L127+(M127/16))-J127)-((+L126+(M126/16))-J126))*20</f>
        <v>-130.25</v>
      </c>
      <c r="P127" s="12"/>
      <c r="Q127" s="12"/>
      <c r="R127" s="307"/>
      <c r="S127" s="164"/>
      <c r="T127" s="154"/>
      <c r="U127" s="165">
        <f>(((+R127+(S127/16))-T127)-((+R126+(S126/16))-T126))*20</f>
        <v>38.5</v>
      </c>
      <c r="V127" s="45">
        <f t="shared" si="59"/>
        <v>-91.75</v>
      </c>
      <c r="W127" s="30">
        <f t="shared" si="60"/>
        <v>-4.5875000000000004</v>
      </c>
      <c r="X127" s="110">
        <f t="shared" si="61"/>
        <v>-4</v>
      </c>
      <c r="Y127" s="31">
        <f t="shared" si="62"/>
        <v>0.41249999999999964</v>
      </c>
      <c r="Z127" s="305">
        <f t="shared" si="63"/>
        <v>-5</v>
      </c>
      <c r="AA127" s="306">
        <f t="shared" si="64"/>
        <v>6.5999999999999943</v>
      </c>
    </row>
    <row r="128" spans="1:29" x14ac:dyDescent="0.2">
      <c r="E128" s="303"/>
      <c r="J128" s="154"/>
      <c r="K128" s="222"/>
      <c r="L128" s="163"/>
      <c r="M128" s="164"/>
      <c r="N128" s="12"/>
      <c r="O128" s="165">
        <f>(((+L128+(M128/16))-J128)-((+L127+(M127/16))-J127))*20</f>
        <v>0</v>
      </c>
      <c r="P128" s="12"/>
      <c r="Q128" s="12"/>
      <c r="R128" s="307"/>
      <c r="S128" s="164"/>
      <c r="T128" s="154"/>
      <c r="U128" s="165">
        <f>(((+R128+(S128/16))-T128)-((+R127+(S127/16))-T127))*20</f>
        <v>0</v>
      </c>
      <c r="V128" s="45">
        <f t="shared" si="59"/>
        <v>0</v>
      </c>
      <c r="W128" s="30">
        <f t="shared" si="60"/>
        <v>0</v>
      </c>
      <c r="X128" s="110">
        <f t="shared" si="61"/>
        <v>0</v>
      </c>
      <c r="Y128" s="31">
        <f t="shared" si="62"/>
        <v>1</v>
      </c>
      <c r="Z128" s="305">
        <f t="shared" si="63"/>
        <v>-1</v>
      </c>
      <c r="AA128" s="306">
        <f t="shared" si="64"/>
        <v>16</v>
      </c>
    </row>
    <row r="129" spans="5:29" x14ac:dyDescent="0.2">
      <c r="E129" s="303"/>
      <c r="J129" s="154"/>
      <c r="K129" s="222"/>
      <c r="L129" s="163"/>
      <c r="M129" s="164"/>
      <c r="N129" s="12"/>
      <c r="O129" s="165">
        <f>(((+L129+(M129/16))-J129)-((+L128+(M128/16))-J128))*20</f>
        <v>0</v>
      </c>
      <c r="P129" s="12"/>
      <c r="Q129" s="12"/>
      <c r="R129" s="307"/>
      <c r="S129" s="164"/>
      <c r="T129" s="154"/>
      <c r="U129" s="165">
        <f>(((+R129+(S129/16))-T129)-((+R128+(S128/16))-T128))*20</f>
        <v>0</v>
      </c>
      <c r="V129" s="45">
        <f t="shared" si="59"/>
        <v>0</v>
      </c>
      <c r="W129" s="30">
        <f t="shared" si="60"/>
        <v>0</v>
      </c>
      <c r="X129" s="110">
        <f t="shared" si="61"/>
        <v>0</v>
      </c>
      <c r="Y129" s="31">
        <f t="shared" si="62"/>
        <v>1</v>
      </c>
      <c r="Z129" s="305">
        <f t="shared" si="63"/>
        <v>-1</v>
      </c>
      <c r="AA129" s="306">
        <f t="shared" si="64"/>
        <v>16</v>
      </c>
    </row>
    <row r="130" spans="5:29" x14ac:dyDescent="0.2">
      <c r="E130" s="303"/>
      <c r="J130" s="154"/>
      <c r="K130" s="222"/>
      <c r="L130" s="163"/>
      <c r="M130" s="164"/>
      <c r="N130" s="12"/>
      <c r="O130" s="155">
        <f>((+L130+(M130/16))-J130)*20</f>
        <v>0</v>
      </c>
      <c r="P130" s="12"/>
      <c r="Q130" s="12"/>
      <c r="R130" s="307"/>
      <c r="S130" s="164"/>
      <c r="T130" s="154"/>
      <c r="U130" s="155">
        <f>((+R130+(S130/16))-T130)*20</f>
        <v>0</v>
      </c>
      <c r="V130" s="45">
        <f t="shared" si="59"/>
        <v>0</v>
      </c>
      <c r="W130" s="30">
        <f t="shared" si="60"/>
        <v>0</v>
      </c>
      <c r="X130" s="110">
        <f t="shared" si="61"/>
        <v>0</v>
      </c>
      <c r="Y130" s="31">
        <f t="shared" si="62"/>
        <v>1</v>
      </c>
      <c r="Z130" s="305">
        <f t="shared" si="63"/>
        <v>-1</v>
      </c>
      <c r="AA130" s="306">
        <f t="shared" si="64"/>
        <v>16</v>
      </c>
    </row>
    <row r="131" spans="5:29" x14ac:dyDescent="0.2"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>((+R131+(S131/16))-T131)*20</f>
        <v>0</v>
      </c>
      <c r="V131" s="45">
        <f t="shared" si="59"/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5:29" x14ac:dyDescent="0.2"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5:29" x14ac:dyDescent="0.2">
      <c r="E133" s="303"/>
      <c r="J133" s="154"/>
      <c r="K133" s="222"/>
      <c r="L133" s="163">
        <v>6</v>
      </c>
      <c r="M133" s="164">
        <v>5.5</v>
      </c>
      <c r="N133" s="12"/>
      <c r="O133" s="155">
        <f>((+L133+(M133/16))-J133)*20</f>
        <v>126.875</v>
      </c>
      <c r="P133" s="12"/>
      <c r="Q133" s="12"/>
      <c r="R133" s="307"/>
      <c r="S133" s="164">
        <v>9.6999999999999993</v>
      </c>
      <c r="T133" s="154"/>
      <c r="U133" s="155">
        <f>((+R133+(S133/16))-T133)*20</f>
        <v>12.125</v>
      </c>
      <c r="V133" s="45">
        <f>+U133+O133</f>
        <v>139</v>
      </c>
      <c r="W133" s="30">
        <f>+V133/20</f>
        <v>6.95</v>
      </c>
      <c r="X133" s="110">
        <f>CEILING(+W133,1)</f>
        <v>7</v>
      </c>
      <c r="Y133" s="31">
        <f>+W133+1-X133</f>
        <v>0.95000000000000018</v>
      </c>
      <c r="Z133" s="305">
        <f>CEILING(+W133,1)-1</f>
        <v>6</v>
      </c>
      <c r="AA133" s="306">
        <f>+Y133/0.0625</f>
        <v>15.200000000000003</v>
      </c>
    </row>
    <row r="134" spans="5:29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5:29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5:29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5:29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5:29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5:29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5:29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5:29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C141" s="4"/>
    </row>
    <row r="142" spans="5:29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5:29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5:29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 05-06-16</vt:lpstr>
      <vt:lpstr>WE 09-26-14</vt:lpstr>
      <vt:lpstr>WE 02-05-12</vt:lpstr>
      <vt:lpstr>WE 04-24-11</vt:lpstr>
      <vt:lpstr>WE 07-05-10</vt:lpstr>
      <vt:lpstr>'WE 02-05-12'!TOTAL_MEASUED_INCOME</vt:lpstr>
      <vt:lpstr>'WE 04-24-11'!TOTAL_MEASUED_INCOME</vt:lpstr>
      <vt:lpstr>'WE 05-06-16'!TOTAL_MEASUED_INCOME</vt:lpstr>
      <vt:lpstr>'WE 07-05-10'!TOTAL_MEASUED_INCOME</vt:lpstr>
      <vt:lpstr>'WE 09-26-14'!TOTAL_MEASUED_INCOME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2017-01-06T23:22:05Z</dcterms:created>
  <dcterms:modified xsi:type="dcterms:W3CDTF">2017-01-17T00:51:47Z</dcterms:modified>
</cp:coreProperties>
</file>