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DMIN\Desktop\my-portfolio\"/>
    </mc:Choice>
  </mc:AlternateContent>
  <xr:revisionPtr revIDLastSave="0" documentId="8_{62807572-3CD7-4A49-8A43-6BF29CE1D4A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ex" sheetId="7" r:id="rId1"/>
    <sheet name="Summary" sheetId="2" r:id="rId2"/>
    <sheet name="Assumptions" sheetId="3" r:id="rId3"/>
    <sheet name="FS" sheetId="4" r:id="rId4"/>
    <sheet name="Valuation" sheetId="5" r:id="rId5"/>
    <sheet name="Debt" sheetId="6" state="hidden" r:id="rId6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5" l="1"/>
  <c r="B76" i="5" s="1"/>
  <c r="C76" i="5" s="1"/>
  <c r="B43" i="5"/>
  <c r="B56" i="5" s="1"/>
  <c r="C67" i="5" s="1"/>
  <c r="B24" i="5"/>
  <c r="B39" i="5" s="1"/>
  <c r="B23" i="5"/>
  <c r="J11" i="5"/>
  <c r="J3" i="5"/>
  <c r="J12" i="5" s="1"/>
  <c r="F196" i="4"/>
  <c r="E196" i="4"/>
  <c r="D196" i="4"/>
  <c r="C196" i="4"/>
  <c r="B196" i="4"/>
  <c r="G186" i="4"/>
  <c r="F185" i="4"/>
  <c r="E185" i="4"/>
  <c r="D185" i="4"/>
  <c r="C185" i="4"/>
  <c r="B185" i="4"/>
  <c r="F150" i="4"/>
  <c r="E150" i="4"/>
  <c r="D150" i="4"/>
  <c r="C150" i="4"/>
  <c r="C152" i="4" s="1"/>
  <c r="C156" i="4" s="1"/>
  <c r="B150" i="4"/>
  <c r="F139" i="4"/>
  <c r="E139" i="4"/>
  <c r="D139" i="4"/>
  <c r="C139" i="4"/>
  <c r="B139" i="4"/>
  <c r="F130" i="4"/>
  <c r="E130" i="4"/>
  <c r="D130" i="4"/>
  <c r="C130" i="4"/>
  <c r="B130" i="4"/>
  <c r="F114" i="4"/>
  <c r="E114" i="4"/>
  <c r="D114" i="4"/>
  <c r="C114" i="4"/>
  <c r="B114" i="4"/>
  <c r="G109" i="4"/>
  <c r="H109" i="4" s="1"/>
  <c r="I109" i="4" s="1"/>
  <c r="J109" i="4" s="1"/>
  <c r="K109" i="4" s="1"/>
  <c r="F103" i="4"/>
  <c r="F116" i="4" s="1"/>
  <c r="F118" i="4" s="1"/>
  <c r="E103" i="4"/>
  <c r="E116" i="4" s="1"/>
  <c r="E118" i="4" s="1"/>
  <c r="D103" i="4"/>
  <c r="D116" i="4" s="1"/>
  <c r="C103" i="4"/>
  <c r="C116" i="4" s="1"/>
  <c r="B103" i="4"/>
  <c r="B116" i="4" s="1"/>
  <c r="F94" i="4"/>
  <c r="E94" i="4"/>
  <c r="D94" i="4"/>
  <c r="C94" i="4"/>
  <c r="B94" i="4"/>
  <c r="J86" i="4"/>
  <c r="I86" i="4"/>
  <c r="F80" i="4"/>
  <c r="E80" i="4"/>
  <c r="D80" i="4"/>
  <c r="C80" i="4"/>
  <c r="B80" i="4"/>
  <c r="G77" i="4"/>
  <c r="H77" i="4" s="1"/>
  <c r="I77" i="4" s="1"/>
  <c r="J77" i="4" s="1"/>
  <c r="K77" i="4" s="1"/>
  <c r="H76" i="4"/>
  <c r="I76" i="4" s="1"/>
  <c r="J76" i="4" s="1"/>
  <c r="K76" i="4" s="1"/>
  <c r="G76" i="4"/>
  <c r="F72" i="4"/>
  <c r="F82" i="4" s="1"/>
  <c r="J4" i="5" s="1"/>
  <c r="E72" i="4"/>
  <c r="E82" i="4" s="1"/>
  <c r="D72" i="4"/>
  <c r="D82" i="4" s="1"/>
  <c r="C72" i="4"/>
  <c r="C82" i="4" s="1"/>
  <c r="B72" i="4"/>
  <c r="B82" i="4" s="1"/>
  <c r="H71" i="4"/>
  <c r="I71" i="4" s="1"/>
  <c r="J71" i="4" s="1"/>
  <c r="K71" i="4" s="1"/>
  <c r="G71" i="4"/>
  <c r="G70" i="4"/>
  <c r="H70" i="4" s="1"/>
  <c r="I70" i="4" s="1"/>
  <c r="J70" i="4" s="1"/>
  <c r="K70" i="4" s="1"/>
  <c r="G69" i="4"/>
  <c r="H69" i="4" s="1"/>
  <c r="I69" i="4" s="1"/>
  <c r="J69" i="4" s="1"/>
  <c r="K69" i="4" s="1"/>
  <c r="G68" i="4"/>
  <c r="H68" i="4" s="1"/>
  <c r="I68" i="4" s="1"/>
  <c r="J68" i="4" s="1"/>
  <c r="K68" i="4" s="1"/>
  <c r="G65" i="4"/>
  <c r="H65" i="4" s="1"/>
  <c r="I65" i="4" s="1"/>
  <c r="J65" i="4" s="1"/>
  <c r="K65" i="4" s="1"/>
  <c r="B65" i="4"/>
  <c r="B63" i="4"/>
  <c r="F62" i="4"/>
  <c r="E62" i="4"/>
  <c r="D62" i="4"/>
  <c r="C62" i="4"/>
  <c r="B62" i="4"/>
  <c r="G61" i="4"/>
  <c r="H61" i="4" s="1"/>
  <c r="I61" i="4" s="1"/>
  <c r="J61" i="4" s="1"/>
  <c r="K61" i="4" s="1"/>
  <c r="G59" i="4"/>
  <c r="F57" i="4"/>
  <c r="F63" i="4" s="1"/>
  <c r="E57" i="4"/>
  <c r="E63" i="4" s="1"/>
  <c r="D57" i="4"/>
  <c r="D66" i="4" s="1"/>
  <c r="C57" i="4"/>
  <c r="C66" i="4" s="1"/>
  <c r="B57" i="4"/>
  <c r="B66" i="4" s="1"/>
  <c r="G56" i="4"/>
  <c r="H56" i="4" s="1"/>
  <c r="I56" i="4" s="1"/>
  <c r="J56" i="4" s="1"/>
  <c r="K56" i="4" s="1"/>
  <c r="G54" i="4"/>
  <c r="E47" i="4"/>
  <c r="D47" i="4"/>
  <c r="C47" i="4"/>
  <c r="B47" i="4"/>
  <c r="E43" i="4"/>
  <c r="F41" i="4"/>
  <c r="E41" i="4"/>
  <c r="D41" i="4"/>
  <c r="D48" i="4" s="1"/>
  <c r="C41" i="4"/>
  <c r="C43" i="4" s="1"/>
  <c r="C44" i="4" s="1"/>
  <c r="B41" i="4"/>
  <c r="E38" i="4"/>
  <c r="D38" i="4"/>
  <c r="D49" i="4" s="1"/>
  <c r="C38" i="4"/>
  <c r="C49" i="4" s="1"/>
  <c r="B38" i="4"/>
  <c r="B49" i="4" s="1"/>
  <c r="A29" i="4"/>
  <c r="A28" i="4"/>
  <c r="A27" i="4"/>
  <c r="A26" i="4"/>
  <c r="B26" i="5" s="1"/>
  <c r="B41" i="5" s="1"/>
  <c r="H23" i="4"/>
  <c r="I23" i="4" s="1"/>
  <c r="J23" i="4" s="1"/>
  <c r="K23" i="4" s="1"/>
  <c r="G23" i="4"/>
  <c r="J16" i="5" s="1"/>
  <c r="G22" i="4"/>
  <c r="H22" i="4" s="1"/>
  <c r="B7" i="4"/>
  <c r="B9" i="4" s="1"/>
  <c r="B12" i="2" s="1"/>
  <c r="F5" i="4"/>
  <c r="F7" i="4" s="1"/>
  <c r="E5" i="4"/>
  <c r="E7" i="4" s="1"/>
  <c r="D5" i="4"/>
  <c r="D7" i="4" s="1"/>
  <c r="D9" i="4" s="1"/>
  <c r="D190" i="4" s="1"/>
  <c r="C5" i="4"/>
  <c r="C7" i="4" s="1"/>
  <c r="C9" i="4" s="1"/>
  <c r="B5" i="4"/>
  <c r="G260" i="3"/>
  <c r="H260" i="3" s="1"/>
  <c r="I260" i="3" s="1"/>
  <c r="J260" i="3" s="1"/>
  <c r="K260" i="3" s="1"/>
  <c r="G258" i="3"/>
  <c r="G113" i="4" s="1"/>
  <c r="G256" i="3"/>
  <c r="G254" i="3"/>
  <c r="G111" i="4" s="1"/>
  <c r="G252" i="3"/>
  <c r="G110" i="4" s="1"/>
  <c r="I250" i="3"/>
  <c r="J250" i="3" s="1"/>
  <c r="K250" i="3" s="1"/>
  <c r="G250" i="3"/>
  <c r="H250" i="3" s="1"/>
  <c r="G248" i="3"/>
  <c r="G108" i="4" s="1"/>
  <c r="G246" i="3"/>
  <c r="G107" i="4" s="1"/>
  <c r="G244" i="3"/>
  <c r="G106" i="4" s="1"/>
  <c r="F242" i="3"/>
  <c r="E242" i="3"/>
  <c r="D242" i="3"/>
  <c r="C242" i="3"/>
  <c r="B242" i="3"/>
  <c r="G241" i="3"/>
  <c r="G102" i="4" s="1"/>
  <c r="H102" i="4" s="1"/>
  <c r="I102" i="4" s="1"/>
  <c r="J102" i="4" s="1"/>
  <c r="K102" i="4" s="1"/>
  <c r="G240" i="3"/>
  <c r="G101" i="4" s="1"/>
  <c r="G239" i="3"/>
  <c r="G100" i="4" s="1"/>
  <c r="H100" i="4" s="1"/>
  <c r="I100" i="4" s="1"/>
  <c r="J100" i="4" s="1"/>
  <c r="K100" i="4" s="1"/>
  <c r="G238" i="3"/>
  <c r="G99" i="4" s="1"/>
  <c r="H99" i="4" s="1"/>
  <c r="I99" i="4" s="1"/>
  <c r="J99" i="4" s="1"/>
  <c r="K99" i="4" s="1"/>
  <c r="G237" i="3"/>
  <c r="G98" i="4" s="1"/>
  <c r="G233" i="3"/>
  <c r="G93" i="4" s="1"/>
  <c r="G231" i="3"/>
  <c r="G91" i="4" s="1"/>
  <c r="K227" i="3"/>
  <c r="J227" i="3"/>
  <c r="I227" i="3"/>
  <c r="H227" i="3"/>
  <c r="G227" i="3"/>
  <c r="G226" i="3"/>
  <c r="G88" i="4" s="1"/>
  <c r="G225" i="3"/>
  <c r="G87" i="4" s="1"/>
  <c r="K224" i="3"/>
  <c r="K86" i="4" s="1"/>
  <c r="G224" i="3"/>
  <c r="G86" i="4" s="1"/>
  <c r="F214" i="3"/>
  <c r="E214" i="3"/>
  <c r="D214" i="3"/>
  <c r="C214" i="3"/>
  <c r="B214" i="3"/>
  <c r="D213" i="3"/>
  <c r="C213" i="3"/>
  <c r="F211" i="3"/>
  <c r="E211" i="3"/>
  <c r="D211" i="3"/>
  <c r="C211" i="3"/>
  <c r="B211" i="3"/>
  <c r="F210" i="3"/>
  <c r="E210" i="3"/>
  <c r="D210" i="3"/>
  <c r="C210" i="3"/>
  <c r="B210" i="3"/>
  <c r="F209" i="3"/>
  <c r="F218" i="3" s="1"/>
  <c r="E209" i="3"/>
  <c r="D209" i="3"/>
  <c r="D218" i="3" s="1"/>
  <c r="C209" i="3"/>
  <c r="B209" i="3"/>
  <c r="B218" i="3" s="1"/>
  <c r="F208" i="3"/>
  <c r="F217" i="3" s="1"/>
  <c r="E208" i="3"/>
  <c r="E217" i="3" s="1"/>
  <c r="D208" i="3"/>
  <c r="D217" i="3" s="1"/>
  <c r="C208" i="3"/>
  <c r="C217" i="3" s="1"/>
  <c r="B208" i="3"/>
  <c r="B217" i="3" s="1"/>
  <c r="F204" i="3"/>
  <c r="E204" i="3"/>
  <c r="D204" i="3"/>
  <c r="C204" i="3"/>
  <c r="B204" i="3"/>
  <c r="E201" i="3"/>
  <c r="F195" i="3"/>
  <c r="F201" i="3" s="1"/>
  <c r="E195" i="3"/>
  <c r="E202" i="3" s="1"/>
  <c r="C195" i="3"/>
  <c r="C201" i="3" s="1"/>
  <c r="B195" i="3"/>
  <c r="B201" i="3" s="1"/>
  <c r="G191" i="3"/>
  <c r="H190" i="3"/>
  <c r="I190" i="3" s="1"/>
  <c r="J190" i="3" s="1"/>
  <c r="K190" i="3" s="1"/>
  <c r="G189" i="3"/>
  <c r="G174" i="3" s="1"/>
  <c r="G173" i="3" s="1"/>
  <c r="K187" i="3"/>
  <c r="J187" i="3"/>
  <c r="I187" i="3"/>
  <c r="H187" i="3"/>
  <c r="G187" i="3"/>
  <c r="F186" i="3"/>
  <c r="E186" i="3"/>
  <c r="D186" i="3"/>
  <c r="C186" i="3"/>
  <c r="B186" i="3"/>
  <c r="H183" i="3"/>
  <c r="I183" i="3" s="1"/>
  <c r="J183" i="3" s="1"/>
  <c r="K183" i="3" s="1"/>
  <c r="G183" i="3"/>
  <c r="G182" i="3"/>
  <c r="G180" i="3"/>
  <c r="H180" i="3" s="1"/>
  <c r="I180" i="3" s="1"/>
  <c r="J180" i="3" s="1"/>
  <c r="K180" i="3" s="1"/>
  <c r="H179" i="3"/>
  <c r="I179" i="3" s="1"/>
  <c r="F177" i="3"/>
  <c r="E177" i="3"/>
  <c r="D177" i="3"/>
  <c r="C177" i="3"/>
  <c r="B177" i="3"/>
  <c r="H175" i="3"/>
  <c r="I175" i="3" s="1"/>
  <c r="J175" i="3" s="1"/>
  <c r="K175" i="3" s="1"/>
  <c r="H172" i="3"/>
  <c r="I172" i="3" s="1"/>
  <c r="J172" i="3" s="1"/>
  <c r="K172" i="3" s="1"/>
  <c r="H169" i="3"/>
  <c r="I169" i="3" s="1"/>
  <c r="J169" i="3" s="1"/>
  <c r="K169" i="3" s="1"/>
  <c r="F166" i="3"/>
  <c r="E166" i="3"/>
  <c r="D166" i="3"/>
  <c r="C166" i="3"/>
  <c r="B166" i="3"/>
  <c r="F160" i="3"/>
  <c r="F164" i="3" s="1"/>
  <c r="E160" i="3"/>
  <c r="D160" i="3"/>
  <c r="D164" i="3" s="1"/>
  <c r="C160" i="3"/>
  <c r="C164" i="3" s="1"/>
  <c r="B160" i="3"/>
  <c r="B164" i="3" s="1"/>
  <c r="G157" i="3"/>
  <c r="H157" i="3" s="1"/>
  <c r="I157" i="3" s="1"/>
  <c r="J157" i="3" s="1"/>
  <c r="K157" i="3" s="1"/>
  <c r="F155" i="3"/>
  <c r="E155" i="3"/>
  <c r="D155" i="3"/>
  <c r="C155" i="3"/>
  <c r="B155" i="3"/>
  <c r="G154" i="3"/>
  <c r="H154" i="3" s="1"/>
  <c r="I154" i="3" s="1"/>
  <c r="J154" i="3" s="1"/>
  <c r="K154" i="3" s="1"/>
  <c r="G153" i="3"/>
  <c r="H153" i="3" s="1"/>
  <c r="I153" i="3" s="1"/>
  <c r="J153" i="3" s="1"/>
  <c r="K153" i="3" s="1"/>
  <c r="G152" i="3"/>
  <c r="H152" i="3" s="1"/>
  <c r="I152" i="3" s="1"/>
  <c r="J152" i="3" s="1"/>
  <c r="K152" i="3" s="1"/>
  <c r="G150" i="3"/>
  <c r="F150" i="3"/>
  <c r="E150" i="3"/>
  <c r="D150" i="3"/>
  <c r="C150" i="3"/>
  <c r="B150" i="3"/>
  <c r="G146" i="3"/>
  <c r="F143" i="3"/>
  <c r="E143" i="3"/>
  <c r="D143" i="3"/>
  <c r="C143" i="3"/>
  <c r="B143" i="3"/>
  <c r="G142" i="3"/>
  <c r="H142" i="3" s="1"/>
  <c r="I142" i="3" s="1"/>
  <c r="J142" i="3" s="1"/>
  <c r="K142" i="3" s="1"/>
  <c r="G141" i="3"/>
  <c r="H141" i="3" s="1"/>
  <c r="I141" i="3" s="1"/>
  <c r="J141" i="3" s="1"/>
  <c r="K141" i="3" s="1"/>
  <c r="G140" i="3"/>
  <c r="H140" i="3" s="1"/>
  <c r="I140" i="3" s="1"/>
  <c r="J140" i="3" s="1"/>
  <c r="K140" i="3" s="1"/>
  <c r="G139" i="3"/>
  <c r="H139" i="3" s="1"/>
  <c r="I139" i="3" s="1"/>
  <c r="J139" i="3" s="1"/>
  <c r="K139" i="3" s="1"/>
  <c r="H138" i="3"/>
  <c r="I138" i="3" s="1"/>
  <c r="J138" i="3" s="1"/>
  <c r="K138" i="3" s="1"/>
  <c r="G138" i="3"/>
  <c r="G137" i="3"/>
  <c r="H137" i="3" s="1"/>
  <c r="I137" i="3" s="1"/>
  <c r="J137" i="3" s="1"/>
  <c r="K137" i="3" s="1"/>
  <c r="G136" i="3"/>
  <c r="H136" i="3" s="1"/>
  <c r="I136" i="3" s="1"/>
  <c r="J136" i="3" s="1"/>
  <c r="K136" i="3" s="1"/>
  <c r="H135" i="3"/>
  <c r="I135" i="3" s="1"/>
  <c r="J135" i="3" s="1"/>
  <c r="K135" i="3" s="1"/>
  <c r="G134" i="3"/>
  <c r="H134" i="3" s="1"/>
  <c r="I134" i="3" s="1"/>
  <c r="J134" i="3" s="1"/>
  <c r="K134" i="3" s="1"/>
  <c r="F125" i="3"/>
  <c r="E125" i="3"/>
  <c r="D125" i="3"/>
  <c r="C125" i="3"/>
  <c r="B125" i="3"/>
  <c r="G123" i="3"/>
  <c r="H123" i="3" s="1"/>
  <c r="I123" i="3" s="1"/>
  <c r="J123" i="3" s="1"/>
  <c r="G121" i="3"/>
  <c r="H121" i="3" s="1"/>
  <c r="I121" i="3" s="1"/>
  <c r="J121" i="3" s="1"/>
  <c r="K121" i="3" s="1"/>
  <c r="G120" i="3"/>
  <c r="H120" i="3" s="1"/>
  <c r="I120" i="3" s="1"/>
  <c r="J120" i="3" s="1"/>
  <c r="K120" i="3" s="1"/>
  <c r="G119" i="3"/>
  <c r="H119" i="3" s="1"/>
  <c r="I119" i="3" s="1"/>
  <c r="J119" i="3" s="1"/>
  <c r="K119" i="3" s="1"/>
  <c r="G118" i="3"/>
  <c r="H118" i="3" s="1"/>
  <c r="I118" i="3" s="1"/>
  <c r="J118" i="3" s="1"/>
  <c r="K118" i="3" s="1"/>
  <c r="G117" i="3"/>
  <c r="H117" i="3" s="1"/>
  <c r="I117" i="3" s="1"/>
  <c r="J117" i="3" s="1"/>
  <c r="K117" i="3" s="1"/>
  <c r="E116" i="3"/>
  <c r="D116" i="3"/>
  <c r="C116" i="3"/>
  <c r="B116" i="3"/>
  <c r="G114" i="3"/>
  <c r="H114" i="3" s="1"/>
  <c r="I114" i="3" s="1"/>
  <c r="J114" i="3" s="1"/>
  <c r="K114" i="3" s="1"/>
  <c r="G113" i="3"/>
  <c r="H113" i="3" s="1"/>
  <c r="I113" i="3" s="1"/>
  <c r="J113" i="3" s="1"/>
  <c r="K113" i="3" s="1"/>
  <c r="G112" i="3"/>
  <c r="H112" i="3" s="1"/>
  <c r="I112" i="3" s="1"/>
  <c r="J112" i="3" s="1"/>
  <c r="K112" i="3" s="1"/>
  <c r="G111" i="3"/>
  <c r="H111" i="3" s="1"/>
  <c r="I111" i="3" s="1"/>
  <c r="J111" i="3" s="1"/>
  <c r="K111" i="3" s="1"/>
  <c r="K110" i="3"/>
  <c r="J110" i="3"/>
  <c r="I110" i="3"/>
  <c r="H110" i="3"/>
  <c r="G110" i="3"/>
  <c r="F110" i="3"/>
  <c r="E110" i="3"/>
  <c r="D110" i="3"/>
  <c r="C110" i="3"/>
  <c r="B110" i="3"/>
  <c r="G107" i="3"/>
  <c r="H107" i="3" s="1"/>
  <c r="I107" i="3" s="1"/>
  <c r="J107" i="3" s="1"/>
  <c r="K107" i="3" s="1"/>
  <c r="K105" i="3"/>
  <c r="J105" i="3"/>
  <c r="I105" i="3"/>
  <c r="H105" i="3"/>
  <c r="G105" i="3"/>
  <c r="G104" i="3" s="1"/>
  <c r="G100" i="3"/>
  <c r="H100" i="3" s="1"/>
  <c r="G99" i="3"/>
  <c r="F98" i="3"/>
  <c r="F101" i="3" s="1"/>
  <c r="E98" i="3"/>
  <c r="E101" i="3" s="1"/>
  <c r="D98" i="3"/>
  <c r="D101" i="3" s="1"/>
  <c r="C98" i="3"/>
  <c r="C101" i="3" s="1"/>
  <c r="B98" i="3"/>
  <c r="B101" i="3" s="1"/>
  <c r="G97" i="3"/>
  <c r="H97" i="3" s="1"/>
  <c r="I97" i="3" s="1"/>
  <c r="J97" i="3" s="1"/>
  <c r="K97" i="3" s="1"/>
  <c r="G96" i="3"/>
  <c r="H96" i="3" s="1"/>
  <c r="I96" i="3" s="1"/>
  <c r="J96" i="3" s="1"/>
  <c r="K96" i="3" s="1"/>
  <c r="G95" i="3"/>
  <c r="H95" i="3" s="1"/>
  <c r="I95" i="3" s="1"/>
  <c r="J95" i="3" s="1"/>
  <c r="K95" i="3" s="1"/>
  <c r="G94" i="3"/>
  <c r="H94" i="3" s="1"/>
  <c r="I94" i="3" s="1"/>
  <c r="J94" i="3" s="1"/>
  <c r="K94" i="3" s="1"/>
  <c r="H93" i="3"/>
  <c r="I93" i="3" s="1"/>
  <c r="J93" i="3" s="1"/>
  <c r="K93" i="3" s="1"/>
  <c r="G93" i="3"/>
  <c r="E92" i="3"/>
  <c r="D92" i="3"/>
  <c r="C92" i="3"/>
  <c r="B92" i="3"/>
  <c r="G90" i="3"/>
  <c r="H90" i="3" s="1"/>
  <c r="I90" i="3" s="1"/>
  <c r="J90" i="3" s="1"/>
  <c r="K90" i="3" s="1"/>
  <c r="G89" i="3"/>
  <c r="H89" i="3" s="1"/>
  <c r="I89" i="3" s="1"/>
  <c r="J89" i="3" s="1"/>
  <c r="K89" i="3" s="1"/>
  <c r="G88" i="3"/>
  <c r="G51" i="4" s="1"/>
  <c r="H86" i="3"/>
  <c r="I86" i="3" s="1"/>
  <c r="J86" i="3" s="1"/>
  <c r="K86" i="3" s="1"/>
  <c r="G86" i="3"/>
  <c r="G85" i="3"/>
  <c r="H85" i="3" s="1"/>
  <c r="I85" i="3" s="1"/>
  <c r="J85" i="3" s="1"/>
  <c r="K85" i="3" s="1"/>
  <c r="K84" i="3"/>
  <c r="J84" i="3"/>
  <c r="I84" i="3"/>
  <c r="H84" i="3"/>
  <c r="G84" i="3"/>
  <c r="F84" i="3"/>
  <c r="E84" i="3"/>
  <c r="D84" i="3"/>
  <c r="C84" i="3"/>
  <c r="B84" i="3"/>
  <c r="G81" i="3"/>
  <c r="H81" i="3" s="1"/>
  <c r="I81" i="3" s="1"/>
  <c r="J81" i="3" s="1"/>
  <c r="K81" i="3" s="1"/>
  <c r="K79" i="3"/>
  <c r="J79" i="3"/>
  <c r="I79" i="3"/>
  <c r="H79" i="3"/>
  <c r="G79" i="3"/>
  <c r="G78" i="3" s="1"/>
  <c r="F79" i="3"/>
  <c r="E79" i="3"/>
  <c r="D79" i="3"/>
  <c r="C79" i="3"/>
  <c r="B79" i="3"/>
  <c r="D75" i="3"/>
  <c r="C75" i="3"/>
  <c r="G71" i="3"/>
  <c r="G70" i="3"/>
  <c r="F66" i="3"/>
  <c r="F64" i="3"/>
  <c r="E64" i="3"/>
  <c r="D64" i="3"/>
  <c r="C64" i="3"/>
  <c r="B64" i="3"/>
  <c r="G64" i="3" s="1"/>
  <c r="H64" i="3" s="1"/>
  <c r="I64" i="3" s="1"/>
  <c r="J64" i="3" s="1"/>
  <c r="K64" i="3" s="1"/>
  <c r="F60" i="3"/>
  <c r="F65" i="3" s="1"/>
  <c r="E60" i="3"/>
  <c r="E65" i="3" s="1"/>
  <c r="D60" i="3"/>
  <c r="D65" i="3" s="1"/>
  <c r="C60" i="3"/>
  <c r="C65" i="3" s="1"/>
  <c r="B60" i="3"/>
  <c r="B65" i="3" s="1"/>
  <c r="F58" i="3"/>
  <c r="E58" i="3"/>
  <c r="D58" i="3"/>
  <c r="D66" i="3" s="1"/>
  <c r="C58" i="3"/>
  <c r="C66" i="3" s="1"/>
  <c r="B58" i="3"/>
  <c r="B62" i="3" s="1"/>
  <c r="G50" i="3"/>
  <c r="H42" i="3"/>
  <c r="I42" i="3" s="1"/>
  <c r="J42" i="3" s="1"/>
  <c r="K42" i="3" s="1"/>
  <c r="F39" i="3"/>
  <c r="E39" i="3"/>
  <c r="D39" i="3"/>
  <c r="C39" i="3"/>
  <c r="F38" i="3"/>
  <c r="E38" i="3"/>
  <c r="D38" i="3"/>
  <c r="C38" i="3"/>
  <c r="J37" i="3"/>
  <c r="J38" i="3" s="1"/>
  <c r="J39" i="3" s="1"/>
  <c r="F37" i="3"/>
  <c r="E37" i="3"/>
  <c r="D37" i="3"/>
  <c r="C37" i="3"/>
  <c r="F36" i="3"/>
  <c r="E36" i="3"/>
  <c r="D36" i="3"/>
  <c r="C36" i="3"/>
  <c r="F35" i="3"/>
  <c r="E35" i="3"/>
  <c r="D35" i="3"/>
  <c r="C35" i="3"/>
  <c r="I34" i="3"/>
  <c r="I35" i="3" s="1"/>
  <c r="I36" i="3" s="1"/>
  <c r="I37" i="3" s="1"/>
  <c r="I38" i="3" s="1"/>
  <c r="I39" i="3" s="1"/>
  <c r="F34" i="3"/>
  <c r="E34" i="3"/>
  <c r="D34" i="3"/>
  <c r="C34" i="3"/>
  <c r="J33" i="3"/>
  <c r="J34" i="3" s="1"/>
  <c r="J35" i="3" s="1"/>
  <c r="J36" i="3" s="1"/>
  <c r="I33" i="3"/>
  <c r="H33" i="3"/>
  <c r="H34" i="3" s="1"/>
  <c r="H35" i="3" s="1"/>
  <c r="H36" i="3" s="1"/>
  <c r="H37" i="3" s="1"/>
  <c r="H38" i="3" s="1"/>
  <c r="H39" i="3" s="1"/>
  <c r="G33" i="3"/>
  <c r="G34" i="3" s="1"/>
  <c r="F33" i="3"/>
  <c r="E33" i="3"/>
  <c r="D33" i="3"/>
  <c r="C33" i="3"/>
  <c r="H32" i="3"/>
  <c r="I32" i="3" s="1"/>
  <c r="J32" i="3" s="1"/>
  <c r="K32" i="3" s="1"/>
  <c r="F32" i="3"/>
  <c r="E32" i="3"/>
  <c r="D32" i="3"/>
  <c r="C32" i="3"/>
  <c r="F29" i="3"/>
  <c r="E29" i="3"/>
  <c r="D29" i="3"/>
  <c r="C29" i="3"/>
  <c r="B29" i="3"/>
  <c r="G22" i="3"/>
  <c r="H21" i="3"/>
  <c r="G21" i="3"/>
  <c r="F16" i="3"/>
  <c r="F17" i="3" s="1"/>
  <c r="E16" i="3"/>
  <c r="D16" i="3"/>
  <c r="E17" i="3" s="1"/>
  <c r="C16" i="3"/>
  <c r="B16" i="3"/>
  <c r="F15" i="3"/>
  <c r="E15" i="3"/>
  <c r="D15" i="3"/>
  <c r="C15" i="3"/>
  <c r="G13" i="3"/>
  <c r="H13" i="3" s="1"/>
  <c r="I13" i="3" s="1"/>
  <c r="J13" i="3" s="1"/>
  <c r="K13" i="3" s="1"/>
  <c r="G12" i="3"/>
  <c r="H12" i="3" s="1"/>
  <c r="I12" i="3" s="1"/>
  <c r="J12" i="3" s="1"/>
  <c r="K12" i="3" s="1"/>
  <c r="G11" i="3"/>
  <c r="H11" i="3" s="1"/>
  <c r="I11" i="3" s="1"/>
  <c r="J11" i="3" s="1"/>
  <c r="K11" i="3" s="1"/>
  <c r="I10" i="3"/>
  <c r="J10" i="3" s="1"/>
  <c r="K10" i="3" s="1"/>
  <c r="F10" i="3"/>
  <c r="E10" i="3"/>
  <c r="D10" i="3"/>
  <c r="C10" i="3"/>
  <c r="G9" i="3"/>
  <c r="K8" i="3"/>
  <c r="J8" i="3"/>
  <c r="I8" i="3"/>
  <c r="H8" i="3"/>
  <c r="G8" i="3"/>
  <c r="F8" i="3"/>
  <c r="F148" i="3" s="1"/>
  <c r="G148" i="3" s="1"/>
  <c r="E8" i="3"/>
  <c r="E148" i="3" s="1"/>
  <c r="D8" i="3"/>
  <c r="C8" i="3"/>
  <c r="B8" i="3"/>
  <c r="K5" i="3"/>
  <c r="K33" i="3" s="1"/>
  <c r="K34" i="3" s="1"/>
  <c r="K35" i="3" s="1"/>
  <c r="K36" i="3" s="1"/>
  <c r="K37" i="3" s="1"/>
  <c r="K38" i="3" s="1"/>
  <c r="K39" i="3" s="1"/>
  <c r="H18" i="2"/>
  <c r="G18" i="2"/>
  <c r="F18" i="2"/>
  <c r="E18" i="2"/>
  <c r="D18" i="2"/>
  <c r="C18" i="2"/>
  <c r="B18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D12" i="2"/>
  <c r="C12" i="2"/>
  <c r="E11" i="2"/>
  <c r="D11" i="2"/>
  <c r="C11" i="2"/>
  <c r="B11" i="2"/>
  <c r="H4" i="2"/>
  <c r="G4" i="2"/>
  <c r="F4" i="2"/>
  <c r="E4" i="2"/>
  <c r="D4" i="2"/>
  <c r="C4" i="2"/>
  <c r="B4" i="2"/>
  <c r="F9" i="4" l="1"/>
  <c r="F213" i="3"/>
  <c r="F92" i="3"/>
  <c r="F116" i="3"/>
  <c r="F11" i="2"/>
  <c r="H233" i="3"/>
  <c r="H93" i="4" s="1"/>
  <c r="H248" i="3"/>
  <c r="H108" i="4" s="1"/>
  <c r="C118" i="4"/>
  <c r="B75" i="3"/>
  <c r="C219" i="3"/>
  <c r="F220" i="3"/>
  <c r="E66" i="4"/>
  <c r="D118" i="4"/>
  <c r="F62" i="3"/>
  <c r="B213" i="3"/>
  <c r="B220" i="3" s="1"/>
  <c r="D43" i="4"/>
  <c r="F66" i="4"/>
  <c r="D44" i="4"/>
  <c r="G55" i="4"/>
  <c r="H55" i="4" s="1"/>
  <c r="I55" i="4" s="1"/>
  <c r="J55" i="4" s="1"/>
  <c r="K55" i="4" s="1"/>
  <c r="F152" i="4"/>
  <c r="F156" i="4" s="1"/>
  <c r="C218" i="3"/>
  <c r="H224" i="3"/>
  <c r="H86" i="4" s="1"/>
  <c r="H239" i="3"/>
  <c r="I239" i="3" s="1"/>
  <c r="J239" i="3" s="1"/>
  <c r="K239" i="3" s="1"/>
  <c r="H252" i="3"/>
  <c r="G24" i="4"/>
  <c r="G180" i="4" s="1"/>
  <c r="D195" i="3"/>
  <c r="D202" i="3" s="1"/>
  <c r="D35" i="5"/>
  <c r="C220" i="3"/>
  <c r="H231" i="3"/>
  <c r="H91" i="4" s="1"/>
  <c r="D152" i="4"/>
  <c r="D156" i="4" s="1"/>
  <c r="B152" i="4"/>
  <c r="B156" i="4" s="1"/>
  <c r="G116" i="3"/>
  <c r="H116" i="3" s="1"/>
  <c r="I116" i="3" s="1"/>
  <c r="J116" i="3" s="1"/>
  <c r="K116" i="3" s="1"/>
  <c r="D17" i="3"/>
  <c r="H88" i="3"/>
  <c r="I88" i="3" s="1"/>
  <c r="J88" i="3" s="1"/>
  <c r="K88" i="3" s="1"/>
  <c r="H191" i="3"/>
  <c r="I191" i="3" s="1"/>
  <c r="J191" i="3" s="1"/>
  <c r="K191" i="3" s="1"/>
  <c r="E218" i="3"/>
  <c r="G218" i="3" s="1"/>
  <c r="H218" i="3" s="1"/>
  <c r="D219" i="3"/>
  <c r="H226" i="3"/>
  <c r="H88" i="4" s="1"/>
  <c r="I231" i="3"/>
  <c r="I91" i="4" s="1"/>
  <c r="H240" i="3"/>
  <c r="H101" i="4" s="1"/>
  <c r="H244" i="3"/>
  <c r="H106" i="4" s="1"/>
  <c r="C17" i="3"/>
  <c r="I100" i="3"/>
  <c r="J100" i="3" s="1"/>
  <c r="K100" i="3" s="1"/>
  <c r="D62" i="3"/>
  <c r="B66" i="3"/>
  <c r="G92" i="3"/>
  <c r="H92" i="3" s="1"/>
  <c r="B162" i="3"/>
  <c r="H182" i="3"/>
  <c r="D220" i="3"/>
  <c r="H225" i="3"/>
  <c r="H238" i="3"/>
  <c r="I238" i="3" s="1"/>
  <c r="J238" i="3" s="1"/>
  <c r="K238" i="3" s="1"/>
  <c r="C162" i="3"/>
  <c r="H189" i="3"/>
  <c r="I189" i="3" s="1"/>
  <c r="F219" i="3"/>
  <c r="H22" i="3"/>
  <c r="G47" i="3"/>
  <c r="G149" i="3"/>
  <c r="H149" i="3" s="1"/>
  <c r="I149" i="3" s="1"/>
  <c r="J149" i="3" s="1"/>
  <c r="K149" i="3" s="1"/>
  <c r="H148" i="3"/>
  <c r="I148" i="3" s="1"/>
  <c r="J148" i="3" s="1"/>
  <c r="K148" i="3" s="1"/>
  <c r="G16" i="3"/>
  <c r="G17" i="3" s="1"/>
  <c r="G10" i="3"/>
  <c r="H9" i="3"/>
  <c r="I21" i="3"/>
  <c r="G23" i="3"/>
  <c r="G35" i="3"/>
  <c r="E62" i="3"/>
  <c r="E66" i="3"/>
  <c r="G65" i="3"/>
  <c r="H65" i="3" s="1"/>
  <c r="I65" i="3" s="1"/>
  <c r="J65" i="3" s="1"/>
  <c r="K65" i="3" s="1"/>
  <c r="J164" i="4"/>
  <c r="K123" i="3"/>
  <c r="C62" i="3"/>
  <c r="H99" i="3"/>
  <c r="I99" i="3" s="1"/>
  <c r="H104" i="3"/>
  <c r="H146" i="3"/>
  <c r="D162" i="3"/>
  <c r="J179" i="3"/>
  <c r="G175" i="4"/>
  <c r="G164" i="4"/>
  <c r="F162" i="3"/>
  <c r="G162" i="3" s="1"/>
  <c r="B190" i="4"/>
  <c r="B14" i="4"/>
  <c r="H78" i="3"/>
  <c r="H164" i="4"/>
  <c r="G217" i="3"/>
  <c r="F190" i="4"/>
  <c r="F14" i="4"/>
  <c r="E162" i="3"/>
  <c r="E164" i="3"/>
  <c r="E9" i="4"/>
  <c r="E213" i="3"/>
  <c r="E219" i="3" s="1"/>
  <c r="B200" i="3"/>
  <c r="F200" i="3"/>
  <c r="D201" i="3"/>
  <c r="G201" i="3" s="1"/>
  <c r="H201" i="3" s="1"/>
  <c r="I201" i="3" s="1"/>
  <c r="J201" i="3" s="1"/>
  <c r="K201" i="3" s="1"/>
  <c r="B202" i="3"/>
  <c r="F202" i="3"/>
  <c r="G179" i="4"/>
  <c r="G112" i="4"/>
  <c r="G181" i="4" s="1"/>
  <c r="B14" i="5" s="1"/>
  <c r="H256" i="3"/>
  <c r="C190" i="4"/>
  <c r="C14" i="4"/>
  <c r="C50" i="5"/>
  <c r="H196" i="4"/>
  <c r="H24" i="4"/>
  <c r="H180" i="4" s="1"/>
  <c r="I22" i="4"/>
  <c r="I182" i="3"/>
  <c r="J182" i="3" s="1"/>
  <c r="K182" i="3" s="1"/>
  <c r="C200" i="3"/>
  <c r="C202" i="3"/>
  <c r="H179" i="4"/>
  <c r="G103" i="4"/>
  <c r="B48" i="4"/>
  <c r="B43" i="4"/>
  <c r="B44" i="4" s="1"/>
  <c r="F43" i="4"/>
  <c r="G40" i="4" s="1"/>
  <c r="D200" i="3"/>
  <c r="K179" i="4"/>
  <c r="I226" i="3"/>
  <c r="I233" i="3"/>
  <c r="H237" i="3"/>
  <c r="I240" i="3"/>
  <c r="H241" i="3"/>
  <c r="I241" i="3" s="1"/>
  <c r="J241" i="3" s="1"/>
  <c r="K241" i="3" s="1"/>
  <c r="I244" i="3"/>
  <c r="H246" i="3"/>
  <c r="H254" i="3"/>
  <c r="D14" i="4"/>
  <c r="E48" i="4"/>
  <c r="E44" i="4"/>
  <c r="E49" i="4"/>
  <c r="F35" i="4"/>
  <c r="G66" i="4"/>
  <c r="E200" i="3"/>
  <c r="G242" i="3"/>
  <c r="C48" i="4"/>
  <c r="C63" i="4"/>
  <c r="J179" i="4"/>
  <c r="B73" i="5"/>
  <c r="B75" i="5" s="1"/>
  <c r="H258" i="3"/>
  <c r="D63" i="4"/>
  <c r="B118" i="4"/>
  <c r="B54" i="5"/>
  <c r="B50" i="5"/>
  <c r="B30" i="5"/>
  <c r="G196" i="4"/>
  <c r="I179" i="4"/>
  <c r="C35" i="5"/>
  <c r="J5" i="5"/>
  <c r="J6" i="5" s="1"/>
  <c r="J13" i="5" s="1"/>
  <c r="E35" i="5"/>
  <c r="F35" i="5"/>
  <c r="G50" i="5"/>
  <c r="E152" i="4"/>
  <c r="E156" i="4" s="1"/>
  <c r="B35" i="5"/>
  <c r="G51" i="5" l="1"/>
  <c r="I248" i="3"/>
  <c r="B219" i="3"/>
  <c r="G200" i="3"/>
  <c r="H200" i="3" s="1"/>
  <c r="I200" i="3" s="1"/>
  <c r="J200" i="3" s="1"/>
  <c r="K200" i="3" s="1"/>
  <c r="G219" i="3"/>
  <c r="H110" i="4"/>
  <c r="H150" i="3" s="1"/>
  <c r="I252" i="3"/>
  <c r="G57" i="4"/>
  <c r="H54" i="4" s="1"/>
  <c r="H57" i="4" s="1"/>
  <c r="F12" i="2"/>
  <c r="F75" i="3"/>
  <c r="J99" i="3"/>
  <c r="K99" i="3" s="1"/>
  <c r="H174" i="3"/>
  <c r="H173" i="3" s="1"/>
  <c r="G155" i="3"/>
  <c r="G15" i="4" s="1"/>
  <c r="G169" i="4" s="1"/>
  <c r="B12" i="5" s="1"/>
  <c r="I108" i="4"/>
  <c r="J248" i="3"/>
  <c r="J231" i="3"/>
  <c r="I164" i="4"/>
  <c r="H51" i="4"/>
  <c r="G66" i="3"/>
  <c r="H66" i="3" s="1"/>
  <c r="I66" i="3" s="1"/>
  <c r="J66" i="3" s="1"/>
  <c r="K66" i="3" s="1"/>
  <c r="H87" i="4"/>
  <c r="I225" i="3"/>
  <c r="H219" i="3"/>
  <c r="B51" i="5"/>
  <c r="H111" i="4"/>
  <c r="I254" i="3"/>
  <c r="I218" i="3"/>
  <c r="F191" i="4"/>
  <c r="F17" i="4"/>
  <c r="B191" i="4"/>
  <c r="B17" i="4"/>
  <c r="I92" i="3"/>
  <c r="H23" i="3"/>
  <c r="G48" i="3"/>
  <c r="C19" i="5"/>
  <c r="B19" i="5"/>
  <c r="F19" i="5"/>
  <c r="E19" i="5"/>
  <c r="D19" i="5"/>
  <c r="H113" i="4"/>
  <c r="I258" i="3"/>
  <c r="I196" i="4"/>
  <c r="D50" i="5"/>
  <c r="D51" i="5" s="1"/>
  <c r="I24" i="4"/>
  <c r="I180" i="4" s="1"/>
  <c r="J22" i="4"/>
  <c r="I18" i="2"/>
  <c r="I174" i="3"/>
  <c r="I173" i="3" s="1"/>
  <c r="J189" i="3"/>
  <c r="J21" i="3"/>
  <c r="I101" i="4"/>
  <c r="J240" i="3"/>
  <c r="I88" i="4"/>
  <c r="J226" i="3"/>
  <c r="G202" i="3"/>
  <c r="H202" i="3" s="1"/>
  <c r="I202" i="3" s="1"/>
  <c r="J202" i="3" s="1"/>
  <c r="K202" i="3" s="1"/>
  <c r="G60" i="4"/>
  <c r="H66" i="4"/>
  <c r="H107" i="4"/>
  <c r="I246" i="3"/>
  <c r="H98" i="4"/>
  <c r="I237" i="3"/>
  <c r="H242" i="3"/>
  <c r="H112" i="4"/>
  <c r="I256" i="3"/>
  <c r="E190" i="4"/>
  <c r="E14" i="4"/>
  <c r="E12" i="2"/>
  <c r="E75" i="3"/>
  <c r="H217" i="3"/>
  <c r="E220" i="3"/>
  <c r="G220" i="3" s="1"/>
  <c r="K179" i="3"/>
  <c r="H155" i="3"/>
  <c r="H15" i="4" s="1"/>
  <c r="I146" i="3"/>
  <c r="G55" i="3"/>
  <c r="G73" i="3"/>
  <c r="J91" i="4"/>
  <c r="K231" i="3"/>
  <c r="K91" i="4" s="1"/>
  <c r="C191" i="4"/>
  <c r="C17" i="4"/>
  <c r="B77" i="5"/>
  <c r="G3" i="2"/>
  <c r="G5" i="2" s="1"/>
  <c r="B45" i="5"/>
  <c r="B6" i="2"/>
  <c r="F38" i="4"/>
  <c r="F47" i="4"/>
  <c r="G47" i="4" s="1"/>
  <c r="H47" i="4" s="1"/>
  <c r="I47" i="4" s="1"/>
  <c r="J47" i="4" s="1"/>
  <c r="K47" i="4" s="1"/>
  <c r="D191" i="4"/>
  <c r="D17" i="4"/>
  <c r="I106" i="4"/>
  <c r="J244" i="3"/>
  <c r="I93" i="4"/>
  <c r="J233" i="3"/>
  <c r="I54" i="4"/>
  <c r="I57" i="4" s="1"/>
  <c r="C51" i="5"/>
  <c r="G182" i="4"/>
  <c r="I78" i="3"/>
  <c r="H162" i="3"/>
  <c r="G160" i="3"/>
  <c r="G164" i="3" s="1"/>
  <c r="G16" i="4" s="1"/>
  <c r="I104" i="3"/>
  <c r="K164" i="4"/>
  <c r="G24" i="3"/>
  <c r="H24" i="3" s="1"/>
  <c r="I24" i="3" s="1"/>
  <c r="J24" i="3" s="1"/>
  <c r="K24" i="3" s="1"/>
  <c r="G36" i="3"/>
  <c r="H16" i="3"/>
  <c r="H17" i="3" s="1"/>
  <c r="I9" i="3"/>
  <c r="I22" i="3"/>
  <c r="H47" i="3"/>
  <c r="I110" i="4" l="1"/>
  <c r="I150" i="3" s="1"/>
  <c r="J252" i="3"/>
  <c r="G14" i="2"/>
  <c r="I87" i="4"/>
  <c r="J225" i="3"/>
  <c r="J108" i="4"/>
  <c r="K248" i="3"/>
  <c r="K108" i="4" s="1"/>
  <c r="I51" i="4"/>
  <c r="H175" i="4"/>
  <c r="I47" i="3"/>
  <c r="J22" i="3"/>
  <c r="G37" i="3"/>
  <c r="G25" i="3"/>
  <c r="J78" i="3"/>
  <c r="C19" i="4"/>
  <c r="C193" i="4" s="1"/>
  <c r="C129" i="3"/>
  <c r="H220" i="3"/>
  <c r="E50" i="5"/>
  <c r="E51" i="5" s="1"/>
  <c r="J196" i="4"/>
  <c r="K22" i="4"/>
  <c r="J24" i="4"/>
  <c r="J180" i="4" s="1"/>
  <c r="J18" i="2"/>
  <c r="G56" i="3"/>
  <c r="G74" i="3"/>
  <c r="G75" i="3" s="1"/>
  <c r="G9" i="4" s="1"/>
  <c r="I98" i="4"/>
  <c r="I242" i="3"/>
  <c r="J237" i="3"/>
  <c r="I113" i="4"/>
  <c r="J258" i="3"/>
  <c r="H48" i="3"/>
  <c r="H74" i="3" s="1"/>
  <c r="I23" i="3"/>
  <c r="I16" i="3"/>
  <c r="I17" i="3" s="1"/>
  <c r="J9" i="3"/>
  <c r="F49" i="4"/>
  <c r="G49" i="4" s="1"/>
  <c r="H49" i="4" s="1"/>
  <c r="I49" i="4" s="1"/>
  <c r="J49" i="4" s="1"/>
  <c r="K49" i="4" s="1"/>
  <c r="G35" i="4"/>
  <c r="F44" i="4"/>
  <c r="F48" i="4"/>
  <c r="G48" i="4" s="1"/>
  <c r="H48" i="4" s="1"/>
  <c r="I48" i="4" s="1"/>
  <c r="J48" i="4" s="1"/>
  <c r="K48" i="4" s="1"/>
  <c r="G46" i="3"/>
  <c r="F46" i="3" s="1"/>
  <c r="I217" i="3"/>
  <c r="H181" i="4"/>
  <c r="H103" i="4"/>
  <c r="G204" i="3"/>
  <c r="G62" i="4"/>
  <c r="J88" i="4"/>
  <c r="K226" i="3"/>
  <c r="K88" i="4" s="1"/>
  <c r="J92" i="3"/>
  <c r="J218" i="3"/>
  <c r="J104" i="3"/>
  <c r="B58" i="5"/>
  <c r="C6" i="2"/>
  <c r="H169" i="4"/>
  <c r="C12" i="5" s="1"/>
  <c r="H14" i="2"/>
  <c r="J101" i="4"/>
  <c r="K240" i="3"/>
  <c r="K101" i="4" s="1"/>
  <c r="J54" i="4"/>
  <c r="J57" i="4" s="1"/>
  <c r="J106" i="4"/>
  <c r="K244" i="3"/>
  <c r="K106" i="4" s="1"/>
  <c r="G54" i="3"/>
  <c r="E191" i="4"/>
  <c r="E17" i="4"/>
  <c r="I66" i="4"/>
  <c r="H60" i="4"/>
  <c r="H204" i="3" s="1"/>
  <c r="K21" i="3"/>
  <c r="B19" i="4"/>
  <c r="B193" i="4" s="1"/>
  <c r="B129" i="3"/>
  <c r="H73" i="3"/>
  <c r="H52" i="3"/>
  <c r="H51" i="3"/>
  <c r="I162" i="3"/>
  <c r="H160" i="3"/>
  <c r="H164" i="3" s="1"/>
  <c r="H16" i="4" s="1"/>
  <c r="J93" i="4"/>
  <c r="K233" i="3"/>
  <c r="K93" i="4" s="1"/>
  <c r="D19" i="4"/>
  <c r="D193" i="4" s="1"/>
  <c r="D129" i="3"/>
  <c r="J146" i="3"/>
  <c r="I155" i="3"/>
  <c r="I15" i="4" s="1"/>
  <c r="I112" i="4"/>
  <c r="J256" i="3"/>
  <c r="I107" i="4"/>
  <c r="J246" i="3"/>
  <c r="J174" i="3"/>
  <c r="J173" i="3" s="1"/>
  <c r="K189" i="3"/>
  <c r="K174" i="3" s="1"/>
  <c r="K173" i="3" s="1"/>
  <c r="F19" i="4"/>
  <c r="F193" i="4" s="1"/>
  <c r="F129" i="3"/>
  <c r="I111" i="4"/>
  <c r="J254" i="3"/>
  <c r="I219" i="3"/>
  <c r="H75" i="3" l="1"/>
  <c r="H9" i="4" s="1"/>
  <c r="J110" i="4"/>
  <c r="J150" i="3" s="1"/>
  <c r="K252" i="3"/>
  <c r="K110" i="4" s="1"/>
  <c r="K150" i="3" s="1"/>
  <c r="K225" i="3"/>
  <c r="K87" i="4" s="1"/>
  <c r="J87" i="4"/>
  <c r="J51" i="4"/>
  <c r="I175" i="4"/>
  <c r="H46" i="3"/>
  <c r="G12" i="2"/>
  <c r="I169" i="4"/>
  <c r="D12" i="5" s="1"/>
  <c r="I14" i="2"/>
  <c r="D192" i="4"/>
  <c r="D194" i="4"/>
  <c r="D21" i="4"/>
  <c r="D16" i="2"/>
  <c r="J162" i="3"/>
  <c r="I160" i="3"/>
  <c r="I164" i="3" s="1"/>
  <c r="I16" i="4" s="1"/>
  <c r="H12" i="2"/>
  <c r="E19" i="4"/>
  <c r="E193" i="4" s="1"/>
  <c r="E129" i="3"/>
  <c r="H59" i="4"/>
  <c r="H62" i="4" s="1"/>
  <c r="G63" i="4"/>
  <c r="G52" i="4" s="1"/>
  <c r="G174" i="4" s="1"/>
  <c r="K196" i="4"/>
  <c r="F50" i="5"/>
  <c r="F51" i="5" s="1"/>
  <c r="B53" i="5" s="1"/>
  <c r="B55" i="5" s="1"/>
  <c r="K24" i="4"/>
  <c r="K180" i="4" s="1"/>
  <c r="K18" i="2"/>
  <c r="K78" i="3"/>
  <c r="J47" i="3"/>
  <c r="K22" i="3"/>
  <c r="K47" i="3" s="1"/>
  <c r="J219" i="3"/>
  <c r="D130" i="3"/>
  <c r="D132" i="3"/>
  <c r="C14" i="5"/>
  <c r="H182" i="4"/>
  <c r="I181" i="4"/>
  <c r="I103" i="4"/>
  <c r="C192" i="4"/>
  <c r="C194" i="4"/>
  <c r="C21" i="4"/>
  <c r="C16" i="2"/>
  <c r="J107" i="4"/>
  <c r="K246" i="3"/>
  <c r="K107" i="4" s="1"/>
  <c r="K146" i="3"/>
  <c r="K155" i="3" s="1"/>
  <c r="K15" i="4" s="1"/>
  <c r="J155" i="3"/>
  <c r="J15" i="4" s="1"/>
  <c r="H50" i="3"/>
  <c r="I51" i="3"/>
  <c r="H55" i="3"/>
  <c r="B132" i="3"/>
  <c r="B130" i="3"/>
  <c r="K54" i="4"/>
  <c r="K57" i="4" s="1"/>
  <c r="B69" i="5"/>
  <c r="D6" i="2"/>
  <c r="K218" i="3"/>
  <c r="G163" i="4"/>
  <c r="G124" i="3"/>
  <c r="J16" i="3"/>
  <c r="J17" i="3" s="1"/>
  <c r="K9" i="3"/>
  <c r="K16" i="3" s="1"/>
  <c r="I48" i="3"/>
  <c r="I74" i="3" s="1"/>
  <c r="J23" i="3"/>
  <c r="J98" i="4"/>
  <c r="J242" i="3"/>
  <c r="K237" i="3"/>
  <c r="I73" i="3"/>
  <c r="F194" i="4"/>
  <c r="F192" i="4"/>
  <c r="F21" i="4"/>
  <c r="F16" i="2"/>
  <c r="J66" i="4"/>
  <c r="I60" i="4"/>
  <c r="I204" i="3" s="1"/>
  <c r="F83" i="3"/>
  <c r="G83" i="3" s="1"/>
  <c r="F109" i="3"/>
  <c r="G109" i="3" s="1"/>
  <c r="E46" i="3"/>
  <c r="G36" i="4"/>
  <c r="G38" i="4" s="1"/>
  <c r="J113" i="4"/>
  <c r="K258" i="3"/>
  <c r="K113" i="4" s="1"/>
  <c r="I220" i="3"/>
  <c r="G38" i="3"/>
  <c r="G26" i="3"/>
  <c r="H26" i="3" s="1"/>
  <c r="I26" i="3" s="1"/>
  <c r="J26" i="3" s="1"/>
  <c r="K26" i="3" s="1"/>
  <c r="J111" i="4"/>
  <c r="K254" i="3"/>
  <c r="K111" i="4" s="1"/>
  <c r="J112" i="4"/>
  <c r="K256" i="3"/>
  <c r="K112" i="4" s="1"/>
  <c r="F132" i="3"/>
  <c r="F130" i="3"/>
  <c r="H56" i="3"/>
  <c r="I52" i="3"/>
  <c r="B194" i="4"/>
  <c r="B192" i="4"/>
  <c r="B21" i="4"/>
  <c r="B16" i="2"/>
  <c r="H163" i="4"/>
  <c r="H124" i="3"/>
  <c r="G58" i="3"/>
  <c r="G4" i="4" s="1"/>
  <c r="G60" i="3"/>
  <c r="G6" i="4" s="1"/>
  <c r="G59" i="3"/>
  <c r="G62" i="3" s="1"/>
  <c r="G7" i="4" s="1"/>
  <c r="K104" i="3"/>
  <c r="K92" i="3"/>
  <c r="J217" i="3"/>
  <c r="C130" i="3"/>
  <c r="C132" i="3"/>
  <c r="H25" i="3"/>
  <c r="K17" i="3" l="1"/>
  <c r="K51" i="4"/>
  <c r="K175" i="4" s="1"/>
  <c r="J175" i="4"/>
  <c r="G41" i="4"/>
  <c r="G45" i="4"/>
  <c r="H35" i="4"/>
  <c r="G8" i="4"/>
  <c r="G214" i="3" s="1"/>
  <c r="G168" i="3"/>
  <c r="G167" i="3" s="1"/>
  <c r="G213" i="3"/>
  <c r="G11" i="2"/>
  <c r="G91" i="3"/>
  <c r="G115" i="3"/>
  <c r="H115" i="3" s="1"/>
  <c r="I115" i="3" s="1"/>
  <c r="J115" i="3" s="1"/>
  <c r="K115" i="3" s="1"/>
  <c r="G190" i="4"/>
  <c r="J169" i="4"/>
  <c r="E12" i="5" s="1"/>
  <c r="J14" i="2"/>
  <c r="K217" i="3"/>
  <c r="G27" i="3"/>
  <c r="H27" i="3" s="1"/>
  <c r="I27" i="3" s="1"/>
  <c r="J27" i="3" s="1"/>
  <c r="K27" i="3" s="1"/>
  <c r="G39" i="3"/>
  <c r="G28" i="3" s="1"/>
  <c r="H28" i="3" s="1"/>
  <c r="I28" i="3" s="1"/>
  <c r="J28" i="3" s="1"/>
  <c r="K28" i="3" s="1"/>
  <c r="H109" i="3"/>
  <c r="G108" i="3"/>
  <c r="H54" i="3"/>
  <c r="K169" i="4"/>
  <c r="F12" i="5" s="1"/>
  <c r="K14" i="2"/>
  <c r="C195" i="4"/>
  <c r="C23" i="4"/>
  <c r="C17" i="2"/>
  <c r="K73" i="3"/>
  <c r="D195" i="4"/>
  <c r="D23" i="4"/>
  <c r="D17" i="2"/>
  <c r="G3" i="4"/>
  <c r="G5" i="4" s="1"/>
  <c r="I56" i="3"/>
  <c r="J52" i="3"/>
  <c r="E192" i="4"/>
  <c r="E194" i="4"/>
  <c r="E21" i="4"/>
  <c r="E16" i="2"/>
  <c r="I25" i="3"/>
  <c r="H83" i="3"/>
  <c r="G82" i="3"/>
  <c r="B64" i="5"/>
  <c r="B66" i="5" s="1"/>
  <c r="F195" i="4"/>
  <c r="F23" i="4"/>
  <c r="F17" i="2"/>
  <c r="I46" i="3"/>
  <c r="J181" i="4"/>
  <c r="J103" i="4"/>
  <c r="I55" i="3"/>
  <c r="I50" i="3"/>
  <c r="J51" i="3"/>
  <c r="D14" i="5"/>
  <c r="I182" i="4"/>
  <c r="J73" i="3"/>
  <c r="I59" i="4"/>
  <c r="I62" i="4" s="1"/>
  <c r="H63" i="4"/>
  <c r="H52" i="4" s="1"/>
  <c r="H174" i="4" s="1"/>
  <c r="B195" i="4"/>
  <c r="B23" i="4"/>
  <c r="B17" i="2"/>
  <c r="E109" i="3"/>
  <c r="E83" i="3"/>
  <c r="J60" i="4"/>
  <c r="J204" i="3" s="1"/>
  <c r="K66" i="4"/>
  <c r="K60" i="4" s="1"/>
  <c r="K204" i="3" s="1"/>
  <c r="K98" i="4"/>
  <c r="K242" i="3"/>
  <c r="B78" i="5"/>
  <c r="C69" i="5"/>
  <c r="E6" i="2"/>
  <c r="J220" i="3"/>
  <c r="I163" i="4"/>
  <c r="I124" i="3"/>
  <c r="I75" i="3"/>
  <c r="I9" i="4" s="1"/>
  <c r="K23" i="3"/>
  <c r="K48" i="3" s="1"/>
  <c r="K74" i="3" s="1"/>
  <c r="J48" i="3"/>
  <c r="J74" i="3" s="1"/>
  <c r="K219" i="3"/>
  <c r="B57" i="5"/>
  <c r="B59" i="5" s="1"/>
  <c r="D3" i="2"/>
  <c r="D5" i="2" s="1"/>
  <c r="D7" i="2" s="1"/>
  <c r="E130" i="3"/>
  <c r="G130" i="3" s="1"/>
  <c r="E132" i="3"/>
  <c r="G132" i="3" s="1"/>
  <c r="H132" i="3" s="1"/>
  <c r="K162" i="3"/>
  <c r="K160" i="3" s="1"/>
  <c r="K164" i="3" s="1"/>
  <c r="K16" i="4" s="1"/>
  <c r="J160" i="3"/>
  <c r="J164" i="3" s="1"/>
  <c r="J16" i="4" s="1"/>
  <c r="H29" i="3" l="1"/>
  <c r="K46" i="3"/>
  <c r="I54" i="3"/>
  <c r="I59" i="3" s="1"/>
  <c r="I3" i="4" s="1"/>
  <c r="K52" i="3"/>
  <c r="K56" i="3" s="1"/>
  <c r="J56" i="3"/>
  <c r="H36" i="4"/>
  <c r="H38" i="4" s="1"/>
  <c r="I132" i="3"/>
  <c r="J75" i="3"/>
  <c r="J9" i="4" s="1"/>
  <c r="J55" i="3"/>
  <c r="K51" i="3"/>
  <c r="J50" i="3"/>
  <c r="I83" i="3"/>
  <c r="H82" i="3"/>
  <c r="J25" i="3"/>
  <c r="I29" i="3"/>
  <c r="G210" i="3"/>
  <c r="G75" i="4" s="1"/>
  <c r="G211" i="3"/>
  <c r="G78" i="4" s="1"/>
  <c r="J163" i="4"/>
  <c r="J124" i="3"/>
  <c r="E195" i="4"/>
  <c r="E23" i="4"/>
  <c r="E17" i="2"/>
  <c r="I130" i="3"/>
  <c r="K103" i="4"/>
  <c r="K181" i="4"/>
  <c r="J46" i="3"/>
  <c r="E14" i="5"/>
  <c r="J182" i="4"/>
  <c r="H130" i="3"/>
  <c r="G29" i="3"/>
  <c r="I109" i="3"/>
  <c r="H108" i="3"/>
  <c r="G195" i="3"/>
  <c r="G43" i="4"/>
  <c r="G6" i="2"/>
  <c r="G7" i="2" s="1"/>
  <c r="B79" i="5"/>
  <c r="I12" i="2"/>
  <c r="K220" i="3"/>
  <c r="C78" i="5"/>
  <c r="H6" i="2" s="1"/>
  <c r="F6" i="2"/>
  <c r="K163" i="4"/>
  <c r="K124" i="3"/>
  <c r="J59" i="4"/>
  <c r="J62" i="4" s="1"/>
  <c r="I63" i="4"/>
  <c r="I52" i="4" s="1"/>
  <c r="I174" i="4" s="1"/>
  <c r="I58" i="3"/>
  <c r="I4" i="4" s="1"/>
  <c r="B68" i="5"/>
  <c r="B70" i="5" s="1"/>
  <c r="E3" i="2"/>
  <c r="E5" i="2" s="1"/>
  <c r="E7" i="2" s="1"/>
  <c r="K75" i="3"/>
  <c r="K9" i="4" s="1"/>
  <c r="H60" i="3"/>
  <c r="H6" i="4" s="1"/>
  <c r="H58" i="3"/>
  <c r="H4" i="4" s="1"/>
  <c r="H59" i="3"/>
  <c r="H3" i="4" s="1"/>
  <c r="G209" i="3"/>
  <c r="G105" i="4" s="1"/>
  <c r="G208" i="3"/>
  <c r="G74" i="4" s="1"/>
  <c r="I5" i="4" l="1"/>
  <c r="H5" i="4"/>
  <c r="I60" i="3"/>
  <c r="I6" i="4" s="1"/>
  <c r="H62" i="3"/>
  <c r="H7" i="4" s="1"/>
  <c r="I35" i="4"/>
  <c r="H45" i="4"/>
  <c r="H41" i="4"/>
  <c r="H195" i="3" s="1"/>
  <c r="K59" i="4"/>
  <c r="K62" i="4" s="1"/>
  <c r="K63" i="4" s="1"/>
  <c r="K52" i="4" s="1"/>
  <c r="J63" i="4"/>
  <c r="J52" i="4" s="1"/>
  <c r="J174" i="4" s="1"/>
  <c r="K50" i="3"/>
  <c r="K55" i="3"/>
  <c r="K54" i="3" s="1"/>
  <c r="K12" i="2"/>
  <c r="G162" i="4"/>
  <c r="B5" i="5" s="1"/>
  <c r="G198" i="3"/>
  <c r="G122" i="3" s="1"/>
  <c r="G125" i="3" s="1"/>
  <c r="G11" i="4" s="1"/>
  <c r="G197" i="3"/>
  <c r="G87" i="3" s="1"/>
  <c r="G98" i="3" s="1"/>
  <c r="G101" i="3" s="1"/>
  <c r="G10" i="4" s="1"/>
  <c r="G196" i="3"/>
  <c r="G166" i="4"/>
  <c r="G167" i="4"/>
  <c r="G114" i="4"/>
  <c r="G116" i="4" s="1"/>
  <c r="I62" i="3"/>
  <c r="I7" i="4" s="1"/>
  <c r="J83" i="3"/>
  <c r="I82" i="3"/>
  <c r="J54" i="3"/>
  <c r="H213" i="3"/>
  <c r="H8" i="4"/>
  <c r="H214" i="3" s="1"/>
  <c r="H168" i="3"/>
  <c r="H167" i="3" s="1"/>
  <c r="H11" i="2"/>
  <c r="H91" i="3"/>
  <c r="H190" i="4"/>
  <c r="J109" i="3"/>
  <c r="I108" i="3"/>
  <c r="K25" i="3"/>
  <c r="K29" i="3" s="1"/>
  <c r="J29" i="3"/>
  <c r="H40" i="4"/>
  <c r="G44" i="4"/>
  <c r="G33" i="4" s="1"/>
  <c r="J130" i="3"/>
  <c r="K130" i="3" s="1"/>
  <c r="F14" i="5"/>
  <c r="K182" i="4"/>
  <c r="J12" i="2"/>
  <c r="J132" i="3"/>
  <c r="K132" i="3" s="1"/>
  <c r="K174" i="4" l="1"/>
  <c r="H209" i="3"/>
  <c r="H105" i="4" s="1"/>
  <c r="H208" i="3"/>
  <c r="H74" i="4" s="1"/>
  <c r="K83" i="3"/>
  <c r="K82" i="3" s="1"/>
  <c r="J82" i="3"/>
  <c r="K58" i="3"/>
  <c r="K4" i="4" s="1"/>
  <c r="K60" i="3"/>
  <c r="K6" i="4" s="1"/>
  <c r="K59" i="3"/>
  <c r="K3" i="4" s="1"/>
  <c r="K5" i="4" s="1"/>
  <c r="H162" i="4"/>
  <c r="C5" i="5" s="1"/>
  <c r="H197" i="3"/>
  <c r="H87" i="3" s="1"/>
  <c r="H98" i="3" s="1"/>
  <c r="H101" i="3" s="1"/>
  <c r="H10" i="4" s="1"/>
  <c r="H196" i="3"/>
  <c r="H198" i="3"/>
  <c r="H122" i="3" s="1"/>
  <c r="H125" i="3" s="1"/>
  <c r="H11" i="4" s="1"/>
  <c r="H210" i="3"/>
  <c r="H75" i="4" s="1"/>
  <c r="H211" i="3"/>
  <c r="H78" i="4" s="1"/>
  <c r="I8" i="4"/>
  <c r="I214" i="3" s="1"/>
  <c r="I213" i="3"/>
  <c r="I168" i="3"/>
  <c r="I167" i="3" s="1"/>
  <c r="I11" i="2"/>
  <c r="I91" i="3"/>
  <c r="I190" i="4"/>
  <c r="B8" i="5"/>
  <c r="K109" i="3"/>
  <c r="K108" i="3" s="1"/>
  <c r="J108" i="3"/>
  <c r="G173" i="4"/>
  <c r="G176" i="4" s="1"/>
  <c r="B6" i="5" s="1"/>
  <c r="G72" i="4"/>
  <c r="H43" i="4"/>
  <c r="J59" i="3"/>
  <c r="J3" i="4" s="1"/>
  <c r="J58" i="3"/>
  <c r="J4" i="4" s="1"/>
  <c r="J60" i="3"/>
  <c r="J6" i="4" s="1"/>
  <c r="I36" i="4"/>
  <c r="I38" i="4" s="1"/>
  <c r="J5" i="4" l="1"/>
  <c r="I41" i="4"/>
  <c r="I195" i="3" s="1"/>
  <c r="J35" i="4"/>
  <c r="I45" i="4"/>
  <c r="H167" i="4"/>
  <c r="H114" i="4"/>
  <c r="H116" i="4" s="1"/>
  <c r="I210" i="3"/>
  <c r="I75" i="4" s="1"/>
  <c r="I211" i="3"/>
  <c r="I78" i="4" s="1"/>
  <c r="K62" i="3"/>
  <c r="K7" i="4" s="1"/>
  <c r="I40" i="4"/>
  <c r="I43" i="4" s="1"/>
  <c r="J40" i="4" s="1"/>
  <c r="H44" i="4"/>
  <c r="H33" i="4" s="1"/>
  <c r="I209" i="3"/>
  <c r="I105" i="4" s="1"/>
  <c r="I208" i="3"/>
  <c r="I74" i="4" s="1"/>
  <c r="J62" i="3"/>
  <c r="J7" i="4" s="1"/>
  <c r="H166" i="4"/>
  <c r="C8" i="5" l="1"/>
  <c r="I167" i="4"/>
  <c r="I114" i="4"/>
  <c r="I116" i="4" s="1"/>
  <c r="J36" i="4"/>
  <c r="J38" i="4" s="1"/>
  <c r="J8" i="4"/>
  <c r="J214" i="3" s="1"/>
  <c r="J168" i="3"/>
  <c r="J167" i="3" s="1"/>
  <c r="J213" i="3"/>
  <c r="J11" i="2"/>
  <c r="J91" i="3"/>
  <c r="J190" i="4"/>
  <c r="K8" i="4"/>
  <c r="K214" i="3" s="1"/>
  <c r="K168" i="3"/>
  <c r="K167" i="3" s="1"/>
  <c r="K213" i="3"/>
  <c r="K11" i="2"/>
  <c r="K91" i="3"/>
  <c r="K190" i="4"/>
  <c r="I162" i="4"/>
  <c r="D5" i="5" s="1"/>
  <c r="I196" i="3"/>
  <c r="I198" i="3"/>
  <c r="I122" i="3" s="1"/>
  <c r="I125" i="3" s="1"/>
  <c r="I11" i="4" s="1"/>
  <c r="I197" i="3"/>
  <c r="I87" i="3" s="1"/>
  <c r="I98" i="3" s="1"/>
  <c r="I101" i="3" s="1"/>
  <c r="I10" i="4" s="1"/>
  <c r="I166" i="4"/>
  <c r="D8" i="5" s="1"/>
  <c r="H173" i="4"/>
  <c r="H176" i="4" s="1"/>
  <c r="C6" i="5" s="1"/>
  <c r="H72" i="4"/>
  <c r="I44" i="4"/>
  <c r="I33" i="4" s="1"/>
  <c r="J45" i="4" l="1"/>
  <c r="K35" i="4"/>
  <c r="J41" i="4"/>
  <c r="I173" i="4"/>
  <c r="I176" i="4" s="1"/>
  <c r="D6" i="5" s="1"/>
  <c r="I72" i="4"/>
  <c r="K210" i="3"/>
  <c r="K75" i="4" s="1"/>
  <c r="K211" i="3"/>
  <c r="K78" i="4" s="1"/>
  <c r="J209" i="3"/>
  <c r="J105" i="4" s="1"/>
  <c r="J208" i="3"/>
  <c r="J74" i="4" s="1"/>
  <c r="K209" i="3"/>
  <c r="K105" i="4" s="1"/>
  <c r="K208" i="3"/>
  <c r="K74" i="4" s="1"/>
  <c r="J210" i="3"/>
  <c r="J75" i="4" s="1"/>
  <c r="J211" i="3"/>
  <c r="J78" i="4" s="1"/>
  <c r="K166" i="4" l="1"/>
  <c r="J166" i="4"/>
  <c r="J195" i="3"/>
  <c r="J43" i="4"/>
  <c r="K167" i="4"/>
  <c r="K114" i="4"/>
  <c r="K116" i="4" s="1"/>
  <c r="J114" i="4"/>
  <c r="J116" i="4" s="1"/>
  <c r="J167" i="4"/>
  <c r="K36" i="4"/>
  <c r="K38" i="4" s="1"/>
  <c r="E8" i="5" l="1"/>
  <c r="K40" i="4"/>
  <c r="J44" i="4"/>
  <c r="J33" i="4" s="1"/>
  <c r="J162" i="4"/>
  <c r="E5" i="5" s="1"/>
  <c r="J198" i="3"/>
  <c r="J122" i="3" s="1"/>
  <c r="J125" i="3" s="1"/>
  <c r="J11" i="4" s="1"/>
  <c r="J197" i="3"/>
  <c r="J87" i="3" s="1"/>
  <c r="J98" i="3" s="1"/>
  <c r="J101" i="3" s="1"/>
  <c r="J10" i="4" s="1"/>
  <c r="J196" i="3"/>
  <c r="K41" i="4"/>
  <c r="K195" i="3" s="1"/>
  <c r="K45" i="4"/>
  <c r="F8" i="5"/>
  <c r="J173" i="4" l="1"/>
  <c r="J176" i="4" s="1"/>
  <c r="E6" i="5" s="1"/>
  <c r="J72" i="4"/>
  <c r="K162" i="4"/>
  <c r="F5" i="5" s="1"/>
  <c r="K198" i="3"/>
  <c r="K122" i="3" s="1"/>
  <c r="K125" i="3" s="1"/>
  <c r="K11" i="4" s="1"/>
  <c r="K197" i="3"/>
  <c r="K87" i="3" s="1"/>
  <c r="K98" i="3" s="1"/>
  <c r="K101" i="3" s="1"/>
  <c r="K10" i="4" s="1"/>
  <c r="K196" i="3"/>
  <c r="K43" i="4"/>
  <c r="K44" i="4" s="1"/>
  <c r="K33" i="4" s="1"/>
  <c r="K173" i="4" l="1"/>
  <c r="K176" i="4" s="1"/>
  <c r="F6" i="5" s="1"/>
  <c r="K72" i="4"/>
  <c r="G128" i="3"/>
  <c r="H128" i="3"/>
  <c r="I128" i="3"/>
  <c r="J128" i="3"/>
  <c r="K128" i="3"/>
  <c r="G129" i="3"/>
  <c r="H129" i="3"/>
  <c r="I129" i="3"/>
  <c r="J129" i="3"/>
  <c r="K129" i="3"/>
  <c r="G131" i="3"/>
  <c r="H131" i="3"/>
  <c r="I131" i="3"/>
  <c r="J131" i="3"/>
  <c r="K131" i="3"/>
  <c r="G143" i="3"/>
  <c r="H143" i="3"/>
  <c r="I143" i="3"/>
  <c r="J143" i="3"/>
  <c r="K143" i="3"/>
  <c r="G166" i="3"/>
  <c r="H166" i="3"/>
  <c r="I166" i="3"/>
  <c r="J166" i="3"/>
  <c r="K166" i="3"/>
  <c r="G170" i="3"/>
  <c r="H170" i="3"/>
  <c r="I170" i="3"/>
  <c r="J170" i="3"/>
  <c r="K170" i="3"/>
  <c r="G171" i="3"/>
  <c r="H171" i="3"/>
  <c r="I171" i="3"/>
  <c r="J171" i="3"/>
  <c r="K171" i="3"/>
  <c r="G177" i="3"/>
  <c r="H177" i="3"/>
  <c r="I177" i="3"/>
  <c r="J177" i="3"/>
  <c r="K177" i="3"/>
  <c r="G185" i="3"/>
  <c r="H185" i="3"/>
  <c r="I185" i="3"/>
  <c r="J185" i="3"/>
  <c r="K185" i="3"/>
  <c r="G186" i="3"/>
  <c r="H186" i="3"/>
  <c r="I186" i="3"/>
  <c r="J186" i="3"/>
  <c r="K186" i="3"/>
  <c r="G229" i="3"/>
  <c r="H229" i="3"/>
  <c r="I229" i="3"/>
  <c r="J229" i="3"/>
  <c r="K229" i="3"/>
  <c r="G12" i="4"/>
  <c r="H12" i="4"/>
  <c r="I12" i="4"/>
  <c r="J12" i="4"/>
  <c r="K12" i="4"/>
  <c r="G13" i="4"/>
  <c r="H13" i="4"/>
  <c r="I13" i="4"/>
  <c r="J13" i="4"/>
  <c r="K13" i="4"/>
  <c r="G14" i="4"/>
  <c r="H14" i="4"/>
  <c r="I14" i="4"/>
  <c r="J14" i="4"/>
  <c r="K14" i="4"/>
  <c r="G17" i="4"/>
  <c r="H17" i="4"/>
  <c r="I17" i="4"/>
  <c r="J17" i="4"/>
  <c r="K17" i="4"/>
  <c r="G18" i="4"/>
  <c r="H18" i="4"/>
  <c r="I18" i="4"/>
  <c r="J18" i="4"/>
  <c r="K18" i="4"/>
  <c r="G19" i="4"/>
  <c r="H19" i="4"/>
  <c r="I19" i="4"/>
  <c r="J19" i="4"/>
  <c r="K19" i="4"/>
  <c r="G21" i="4"/>
  <c r="H21" i="4"/>
  <c r="I21" i="4"/>
  <c r="J21" i="4"/>
  <c r="K21" i="4"/>
  <c r="G79" i="4"/>
  <c r="H79" i="4"/>
  <c r="I79" i="4"/>
  <c r="J79" i="4"/>
  <c r="K79" i="4"/>
  <c r="G80" i="4"/>
  <c r="H80" i="4"/>
  <c r="I80" i="4"/>
  <c r="J80" i="4"/>
  <c r="K80" i="4"/>
  <c r="G82" i="4"/>
  <c r="H82" i="4"/>
  <c r="I82" i="4"/>
  <c r="J82" i="4"/>
  <c r="K82" i="4"/>
  <c r="G89" i="4"/>
  <c r="H89" i="4"/>
  <c r="I89" i="4"/>
  <c r="J89" i="4"/>
  <c r="K89" i="4"/>
  <c r="G94" i="4"/>
  <c r="H94" i="4"/>
  <c r="I94" i="4"/>
  <c r="J94" i="4"/>
  <c r="K94" i="4"/>
  <c r="G118" i="4"/>
  <c r="H118" i="4"/>
  <c r="I118" i="4"/>
  <c r="J118" i="4"/>
  <c r="K118" i="4"/>
  <c r="G161" i="4"/>
  <c r="H161" i="4"/>
  <c r="I161" i="4"/>
  <c r="J161" i="4"/>
  <c r="K161" i="4"/>
  <c r="G170" i="4"/>
  <c r="H170" i="4"/>
  <c r="I170" i="4"/>
  <c r="J170" i="4"/>
  <c r="K170" i="4"/>
  <c r="G171" i="4"/>
  <c r="H171" i="4"/>
  <c r="I171" i="4"/>
  <c r="J171" i="4"/>
  <c r="K171" i="4"/>
  <c r="G185" i="4"/>
  <c r="H185" i="4"/>
  <c r="I185" i="4"/>
  <c r="J185" i="4"/>
  <c r="K185" i="4"/>
  <c r="H186" i="4"/>
  <c r="I186" i="4"/>
  <c r="J186" i="4"/>
  <c r="K186" i="4"/>
  <c r="G187" i="4"/>
  <c r="H187" i="4"/>
  <c r="I187" i="4"/>
  <c r="J187" i="4"/>
  <c r="K187" i="4"/>
  <c r="G191" i="4"/>
  <c r="H191" i="4"/>
  <c r="I191" i="4"/>
  <c r="J191" i="4"/>
  <c r="K191" i="4"/>
  <c r="G192" i="4"/>
  <c r="H192" i="4"/>
  <c r="I192" i="4"/>
  <c r="J192" i="4"/>
  <c r="K192" i="4"/>
  <c r="G193" i="4"/>
  <c r="H193" i="4"/>
  <c r="I193" i="4"/>
  <c r="J193" i="4"/>
  <c r="K193" i="4"/>
  <c r="G194" i="4"/>
  <c r="H194" i="4"/>
  <c r="I194" i="4"/>
  <c r="J194" i="4"/>
  <c r="K194" i="4"/>
  <c r="G195" i="4"/>
  <c r="H195" i="4"/>
  <c r="I195" i="4"/>
  <c r="J195" i="4"/>
  <c r="K195" i="4"/>
  <c r="B3" i="2"/>
  <c r="C3" i="2"/>
  <c r="F3" i="2"/>
  <c r="H3" i="2"/>
  <c r="B5" i="2"/>
  <c r="C5" i="2"/>
  <c r="F5" i="2"/>
  <c r="H5" i="2"/>
  <c r="B7" i="2"/>
  <c r="C7" i="2"/>
  <c r="F7" i="2"/>
  <c r="H7" i="2"/>
  <c r="G13" i="2"/>
  <c r="H13" i="2"/>
  <c r="I13" i="2"/>
  <c r="J13" i="2"/>
  <c r="K13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B4" i="5"/>
  <c r="C4" i="5"/>
  <c r="D4" i="5"/>
  <c r="E4" i="5"/>
  <c r="F4" i="5"/>
  <c r="B7" i="5"/>
  <c r="C7" i="5"/>
  <c r="D7" i="5"/>
  <c r="E7" i="5"/>
  <c r="F7" i="5"/>
  <c r="B9" i="5"/>
  <c r="C9" i="5"/>
  <c r="D9" i="5"/>
  <c r="E9" i="5"/>
  <c r="F9" i="5"/>
  <c r="G9" i="5"/>
  <c r="B15" i="5"/>
  <c r="C15" i="5"/>
  <c r="D15" i="5"/>
  <c r="E15" i="5"/>
  <c r="F15" i="5"/>
  <c r="G15" i="5"/>
  <c r="J15" i="5"/>
  <c r="J17" i="5"/>
  <c r="B20" i="5"/>
  <c r="C20" i="5"/>
  <c r="D20" i="5"/>
  <c r="E20" i="5"/>
  <c r="F20" i="5"/>
  <c r="G20" i="5"/>
  <c r="B22" i="5"/>
  <c r="B25" i="5"/>
  <c r="B27" i="5"/>
  <c r="B29" i="5"/>
  <c r="B31" i="5"/>
  <c r="B34" i="5"/>
  <c r="C34" i="5"/>
  <c r="D34" i="5"/>
  <c r="E34" i="5"/>
  <c r="F34" i="5"/>
  <c r="G34" i="5"/>
  <c r="B36" i="5"/>
  <c r="C36" i="5"/>
  <c r="D36" i="5"/>
  <c r="E36" i="5"/>
  <c r="F36" i="5"/>
  <c r="G36" i="5"/>
  <c r="B38" i="5"/>
  <c r="B40" i="5"/>
  <c r="B42" i="5"/>
  <c r="B44" i="5"/>
  <c r="B46" i="5"/>
  <c r="C64" i="5"/>
  <c r="C66" i="5"/>
  <c r="C68" i="5"/>
  <c r="C70" i="5"/>
  <c r="C73" i="5"/>
  <c r="C75" i="5"/>
  <c r="C77" i="5"/>
  <c r="C79" i="5"/>
</calcChain>
</file>

<file path=xl/sharedStrings.xml><?xml version="1.0" encoding="utf-8"?>
<sst xmlns="http://schemas.openxmlformats.org/spreadsheetml/2006/main" count="536" uniqueCount="366">
  <si>
    <t>FCFF</t>
  </si>
  <si>
    <t>FCFE</t>
  </si>
  <si>
    <t>DDM</t>
  </si>
  <si>
    <t>PE0</t>
  </si>
  <si>
    <t>PE1</t>
  </si>
  <si>
    <t>PB0</t>
  </si>
  <si>
    <t>PB1</t>
  </si>
  <si>
    <t>Value</t>
  </si>
  <si>
    <t>Price</t>
  </si>
  <si>
    <t>Upside</t>
  </si>
  <si>
    <t>Dividend Yield</t>
  </si>
  <si>
    <t>TSR</t>
  </si>
  <si>
    <t>Stance</t>
  </si>
  <si>
    <t>Buy</t>
  </si>
  <si>
    <t>Sell</t>
  </si>
  <si>
    <t>FY18</t>
  </si>
  <si>
    <t>FY19</t>
  </si>
  <si>
    <t>FY20</t>
  </si>
  <si>
    <t>FY21</t>
  </si>
  <si>
    <t>FY22</t>
  </si>
  <si>
    <t>FY23F</t>
  </si>
  <si>
    <t>FY24F</t>
  </si>
  <si>
    <t>FY25F</t>
  </si>
  <si>
    <t>FY26F</t>
  </si>
  <si>
    <t>FY27F</t>
  </si>
  <si>
    <t>Sales</t>
  </si>
  <si>
    <t>Gross Profit</t>
  </si>
  <si>
    <t>Expenses</t>
  </si>
  <si>
    <t>Interest</t>
  </si>
  <si>
    <t>Tax</t>
  </si>
  <si>
    <t>PAT</t>
  </si>
  <si>
    <t>EPS</t>
  </si>
  <si>
    <t>DPS</t>
  </si>
  <si>
    <t>Macro Economic Assumptions</t>
  </si>
  <si>
    <t>GDP Growth</t>
  </si>
  <si>
    <t>Inflation</t>
  </si>
  <si>
    <t>Policy Rate</t>
  </si>
  <si>
    <t>KIBOR</t>
  </si>
  <si>
    <t>Exchange Rate</t>
  </si>
  <si>
    <t>Depreciation</t>
  </si>
  <si>
    <t>Corporate tax</t>
  </si>
  <si>
    <t>Interest Income tax</t>
  </si>
  <si>
    <t>Dividend Tax</t>
  </si>
  <si>
    <t>Brent Oil (USD / bbl)</t>
  </si>
  <si>
    <t>Brent Oil (PKR / litre)</t>
  </si>
  <si>
    <t>Change in Prices</t>
  </si>
  <si>
    <t>Industry POL Volumes (Tons)</t>
  </si>
  <si>
    <t>FO</t>
  </si>
  <si>
    <t>HSD</t>
  </si>
  <si>
    <t>MOGAS</t>
  </si>
  <si>
    <t>JP</t>
  </si>
  <si>
    <t>KEROSENE</t>
  </si>
  <si>
    <t>LDO</t>
  </si>
  <si>
    <t>HOBC</t>
  </si>
  <si>
    <t>Lube</t>
  </si>
  <si>
    <t>Industry Growth</t>
  </si>
  <si>
    <t>Shell Market Share</t>
  </si>
  <si>
    <t xml:space="preserve">MOGAS </t>
  </si>
  <si>
    <t xml:space="preserve">SALES QTY </t>
  </si>
  <si>
    <t>Average Prices</t>
  </si>
  <si>
    <t>Gross Sales</t>
  </si>
  <si>
    <t xml:space="preserve">HSD </t>
  </si>
  <si>
    <t>Other Revenue</t>
  </si>
  <si>
    <t>Discounts</t>
  </si>
  <si>
    <t>Sales tax</t>
  </si>
  <si>
    <t>Net Sales</t>
  </si>
  <si>
    <t>Discounts %</t>
  </si>
  <si>
    <t>Sales tax %</t>
  </si>
  <si>
    <t>Other Revenue %</t>
  </si>
  <si>
    <t>MS</t>
  </si>
  <si>
    <t>MO</t>
  </si>
  <si>
    <t>Distribution and Marketing Expenses</t>
  </si>
  <si>
    <t>salaries, wages and benefits</t>
  </si>
  <si>
    <t xml:space="preserve">                 Inflation</t>
  </si>
  <si>
    <t xml:space="preserve">                 Spread</t>
  </si>
  <si>
    <t>stores and materials</t>
  </si>
  <si>
    <t>fuel and power</t>
  </si>
  <si>
    <t xml:space="preserve">                 Per Ton</t>
  </si>
  <si>
    <t>rent, taxes and utilities</t>
  </si>
  <si>
    <t>repairs and maintenece</t>
  </si>
  <si>
    <t>depriciation on operating assets</t>
  </si>
  <si>
    <t>depriciation on right-of-use assets</t>
  </si>
  <si>
    <t>insurance</t>
  </si>
  <si>
    <t>training and travelling</t>
  </si>
  <si>
    <t>advertising and publicity</t>
  </si>
  <si>
    <t xml:space="preserve">              % of net sales </t>
  </si>
  <si>
    <t>legal and professional charges</t>
  </si>
  <si>
    <t>communication and stationery</t>
  </si>
  <si>
    <t>computer expenses</t>
  </si>
  <si>
    <t>storage and other charges</t>
  </si>
  <si>
    <t>others</t>
  </si>
  <si>
    <t>handling and storage charges recovered</t>
  </si>
  <si>
    <t>secondary transportation expenses</t>
  </si>
  <si>
    <t>Administrative Expenses</t>
  </si>
  <si>
    <t xml:space="preserve">salaries, wages and benefits </t>
  </si>
  <si>
    <t xml:space="preserve">                  Inflation</t>
  </si>
  <si>
    <t>repairs and maintainence</t>
  </si>
  <si>
    <t>technical service fee</t>
  </si>
  <si>
    <t>trade-marks and manifestations license fee</t>
  </si>
  <si>
    <t>communication and sationery</t>
  </si>
  <si>
    <t>depriciation on righ-of-use assets</t>
  </si>
  <si>
    <t>amortization</t>
  </si>
  <si>
    <t>Other Expenses</t>
  </si>
  <si>
    <t>Workers' welfare fund</t>
  </si>
  <si>
    <t xml:space="preserve">                                  PBT</t>
  </si>
  <si>
    <t xml:space="preserve">                                  %</t>
  </si>
  <si>
    <t>Workers profit participation fund</t>
  </si>
  <si>
    <t>soil and ground water remediation cost</t>
  </si>
  <si>
    <t>exchange loss</t>
  </si>
  <si>
    <t>Allowance for expected credit loss on trdade debts- net</t>
  </si>
  <si>
    <t>provision for impairment on other recievables</t>
  </si>
  <si>
    <t>provision of impairment on operating assets</t>
  </si>
  <si>
    <t>write off of operating assets</t>
  </si>
  <si>
    <t>Auditors' renumeration</t>
  </si>
  <si>
    <t>donations</t>
  </si>
  <si>
    <t>commission-net</t>
  </si>
  <si>
    <t>Finance costs</t>
  </si>
  <si>
    <t>mark up on long term financing</t>
  </si>
  <si>
    <t>Rate of markup</t>
  </si>
  <si>
    <t>mark up on short term borrowings and running finance</t>
  </si>
  <si>
    <t>Short term Borrowing</t>
  </si>
  <si>
    <t>bank charges</t>
  </si>
  <si>
    <t>accretion expense</t>
  </si>
  <si>
    <t>accretion of interest on lease liabilities</t>
  </si>
  <si>
    <t>weighted average no.of ordinary shares</t>
  </si>
  <si>
    <t>Investments in Associates</t>
  </si>
  <si>
    <t>Pak-Arab Pipeline Company Limited (PAPCO)</t>
  </si>
  <si>
    <t xml:space="preserve">            % equity</t>
  </si>
  <si>
    <t>Total Profit PAPCO</t>
  </si>
  <si>
    <t xml:space="preserve">             Increment</t>
  </si>
  <si>
    <t>Share of profit from associates</t>
  </si>
  <si>
    <t>Taxation</t>
  </si>
  <si>
    <t>Corporate Tax</t>
  </si>
  <si>
    <t xml:space="preserve">             Sales</t>
  </si>
  <si>
    <t xml:space="preserve">             Rate of Corporate Tax</t>
  </si>
  <si>
    <t>Interest Income</t>
  </si>
  <si>
    <t xml:space="preserve">             Interest Income</t>
  </si>
  <si>
    <t xml:space="preserve">             Interest Income Tax</t>
  </si>
  <si>
    <t>Dividend Income</t>
  </si>
  <si>
    <t xml:space="preserve">             Dividend Income</t>
  </si>
  <si>
    <t xml:space="preserve">             Dividend Tax</t>
  </si>
  <si>
    <t>Other Income</t>
  </si>
  <si>
    <t>Interest Received on TDRs</t>
  </si>
  <si>
    <t>Term Deposit Receipts</t>
  </si>
  <si>
    <t>Reversal of allowance for expected credit losses on trade debts - net</t>
  </si>
  <si>
    <t>Reversal of provision for impairment on other receivables - net</t>
  </si>
  <si>
    <t>On Savings accounts</t>
  </si>
  <si>
    <t>Bank Balance</t>
  </si>
  <si>
    <t>MDR</t>
  </si>
  <si>
    <t>Other items</t>
  </si>
  <si>
    <t>PPE</t>
  </si>
  <si>
    <t>Cost of sales</t>
  </si>
  <si>
    <t>Selling</t>
  </si>
  <si>
    <t>Admin</t>
  </si>
  <si>
    <t>Amortization</t>
  </si>
  <si>
    <t>Turnover Ratios</t>
  </si>
  <si>
    <t>stock-in-trade</t>
  </si>
  <si>
    <t>trade and other payables</t>
  </si>
  <si>
    <t>trade debt</t>
  </si>
  <si>
    <t>other recievables</t>
  </si>
  <si>
    <t>Net Revenue</t>
  </si>
  <si>
    <t>COGS</t>
  </si>
  <si>
    <t>Days turnover</t>
  </si>
  <si>
    <t>Trade debt</t>
  </si>
  <si>
    <t>Other recievables</t>
  </si>
  <si>
    <t>EQUITY AND LIABILITIES</t>
  </si>
  <si>
    <t>Equity</t>
  </si>
  <si>
    <t>share capital</t>
  </si>
  <si>
    <t>share premium</t>
  </si>
  <si>
    <t>general reserves</t>
  </si>
  <si>
    <t xml:space="preserve">dividends rs3 per share </t>
  </si>
  <si>
    <t>unappropriated profit/ (accumulated loss)</t>
  </si>
  <si>
    <t>remeasurement of post employment</t>
  </si>
  <si>
    <t xml:space="preserve">     benefits - actuarial loss</t>
  </si>
  <si>
    <t>unrealized loss on remeasurement of equity investment</t>
  </si>
  <si>
    <t xml:space="preserve">     classified as fair value through other comprehensive income</t>
  </si>
  <si>
    <t>liabilities</t>
  </si>
  <si>
    <t>Non-Current liabilities</t>
  </si>
  <si>
    <t>Asset-retirement obligation</t>
  </si>
  <si>
    <t>Long-term provisions</t>
  </si>
  <si>
    <t>Long-term financing</t>
  </si>
  <si>
    <t>Long-term lease liabilities</t>
  </si>
  <si>
    <t>provision for post retirement medical benefits</t>
  </si>
  <si>
    <t>Current Liabilities</t>
  </si>
  <si>
    <t>Advances recieved from customers</t>
  </si>
  <si>
    <t>unclaimed dividend</t>
  </si>
  <si>
    <t>unpaid dividend</t>
  </si>
  <si>
    <t>Accrued mark-up</t>
  </si>
  <si>
    <t>Short-term borrowings</t>
  </si>
  <si>
    <t>Taxation - net</t>
  </si>
  <si>
    <t>Current portion of long-term provisions</t>
  </si>
  <si>
    <t>Current portion of long term lease liabilities</t>
  </si>
  <si>
    <t xml:space="preserve">Working capital ratio </t>
  </si>
  <si>
    <t>Statement of Profit/Loss</t>
  </si>
  <si>
    <t>sales (Gross sales + discounts)</t>
  </si>
  <si>
    <t>other revenue</t>
  </si>
  <si>
    <t>sales tax</t>
  </si>
  <si>
    <t>Net revenue</t>
  </si>
  <si>
    <t>Cost of Goods Sold</t>
  </si>
  <si>
    <t>Gross profit</t>
  </si>
  <si>
    <t>distribution and marketing expenses</t>
  </si>
  <si>
    <t>administrative expenses</t>
  </si>
  <si>
    <t>other expenses</t>
  </si>
  <si>
    <t>other income</t>
  </si>
  <si>
    <t>operating loss/profit</t>
  </si>
  <si>
    <t>finance costs</t>
  </si>
  <si>
    <t>share of profit of associate- net of tax</t>
  </si>
  <si>
    <t>loss/profit before taxation  (PBT)</t>
  </si>
  <si>
    <t>taxation</t>
  </si>
  <si>
    <t>net loss/profit for the year (NI)</t>
  </si>
  <si>
    <t>No of shares</t>
  </si>
  <si>
    <t>Dividends paid</t>
  </si>
  <si>
    <t>2022 Onwards</t>
  </si>
  <si>
    <t>2021</t>
  </si>
  <si>
    <t>2020</t>
  </si>
  <si>
    <t>2018 &amp; 2019</t>
  </si>
  <si>
    <t>ASSETS</t>
  </si>
  <si>
    <t>Non-current assets</t>
  </si>
  <si>
    <t>Property, Plant and Equipment</t>
  </si>
  <si>
    <t xml:space="preserve">                Cost</t>
  </si>
  <si>
    <t xml:space="preserve">                Opening Balance</t>
  </si>
  <si>
    <t xml:space="preserve">                Additions</t>
  </si>
  <si>
    <t xml:space="preserve">                Disposals</t>
  </si>
  <si>
    <t xml:space="preserve">                Closing Balance</t>
  </si>
  <si>
    <t>Depreciation And Impairment</t>
  </si>
  <si>
    <t xml:space="preserve">                Charge for the year</t>
  </si>
  <si>
    <t>Net Book value</t>
  </si>
  <si>
    <t>Capital Work In Progress (CWIP)</t>
  </si>
  <si>
    <t>Addition as % of Opening assets</t>
  </si>
  <si>
    <t>Depreciation  as a % of closing assets</t>
  </si>
  <si>
    <t>CWIP as a % of closing assets</t>
  </si>
  <si>
    <t>Right-of-Use Assets</t>
  </si>
  <si>
    <t>Intangible Assets</t>
  </si>
  <si>
    <t xml:space="preserve">             Cost</t>
  </si>
  <si>
    <t xml:space="preserve">             Opening balance</t>
  </si>
  <si>
    <t xml:space="preserve">             Additions</t>
  </si>
  <si>
    <t xml:space="preserve">             Disposals</t>
  </si>
  <si>
    <t xml:space="preserve">             Closing balance</t>
  </si>
  <si>
    <t xml:space="preserve">             Charge for the year</t>
  </si>
  <si>
    <t>Net Book Value</t>
  </si>
  <si>
    <t>Addition as a % of opening assets</t>
  </si>
  <si>
    <t>Amortization %</t>
  </si>
  <si>
    <t>Long-Term Investments</t>
  </si>
  <si>
    <t>Long-Term Loans</t>
  </si>
  <si>
    <t>Long-Term Deposits and Prepayments</t>
  </si>
  <si>
    <t>Deffered taxation</t>
  </si>
  <si>
    <t>Current Assets</t>
  </si>
  <si>
    <t>trade debts</t>
  </si>
  <si>
    <t>loans and advances</t>
  </si>
  <si>
    <t>short-term deposits and prepayments</t>
  </si>
  <si>
    <t>cash and bank balances</t>
  </si>
  <si>
    <t>TOTAL ASSETS</t>
  </si>
  <si>
    <t>share capital (in rupees)</t>
  </si>
  <si>
    <t>Total equity</t>
  </si>
  <si>
    <t>Liabilities</t>
  </si>
  <si>
    <t>Total Liabilities</t>
  </si>
  <si>
    <t>TOTAL EQUITY AND LIABILITIES</t>
  </si>
  <si>
    <t>CASHFLOWS FROM OPERATING ACTIVITIES</t>
  </si>
  <si>
    <t>Cash used in/ generated from operations</t>
  </si>
  <si>
    <t>Finance costs paid</t>
  </si>
  <si>
    <t>interest portion of lease liabilities paid</t>
  </si>
  <si>
    <t>Income tax paid</t>
  </si>
  <si>
    <t>Long-term loans</t>
  </si>
  <si>
    <t>Long-term deposits and prepayments</t>
  </si>
  <si>
    <t>interest recieved on short term deposits/ savings account</t>
  </si>
  <si>
    <t>post retirement medical benefits paid during the year</t>
  </si>
  <si>
    <t>Net cash (used in)/generated from operating activities</t>
  </si>
  <si>
    <t>CASHFLOWS FROM INVESTING ACTIVITIES</t>
  </si>
  <si>
    <t>fixed capital expenditure</t>
  </si>
  <si>
    <t>Proceeds from disposal of operating assets</t>
  </si>
  <si>
    <t>Dividend recieved from associate</t>
  </si>
  <si>
    <t>interest on term deposit reciepts</t>
  </si>
  <si>
    <t>Net cash used in investing activities</t>
  </si>
  <si>
    <t>CASHFLOWS FROM FINANCING ACTIVITIES</t>
  </si>
  <si>
    <t>proceeds from issuance of shares</t>
  </si>
  <si>
    <t>share issuance cost</t>
  </si>
  <si>
    <t>principal portion of lease liabilities paid</t>
  </si>
  <si>
    <t>repayment of long-term loan</t>
  </si>
  <si>
    <t>issue of long term loan</t>
  </si>
  <si>
    <t>lease rentals paid</t>
  </si>
  <si>
    <t>Net decrease in cash and cash equivalents</t>
  </si>
  <si>
    <t>cash and cash equivalents in the beginning of the year</t>
  </si>
  <si>
    <t>cash and cash equivalents at the end of the year</t>
  </si>
  <si>
    <t>Statement of Cashflows</t>
  </si>
  <si>
    <t xml:space="preserve">Profit before interest &amp; tax </t>
  </si>
  <si>
    <t>Add : Depreciation</t>
  </si>
  <si>
    <t>Add : Amortization</t>
  </si>
  <si>
    <t>Add : ROU asset</t>
  </si>
  <si>
    <t>Changes in working capital</t>
  </si>
  <si>
    <t>Current assets</t>
  </si>
  <si>
    <t>Current liabilities</t>
  </si>
  <si>
    <t>Less: Interest</t>
  </si>
  <si>
    <t>Less: Tax</t>
  </si>
  <si>
    <t>Cashflow from operating activities</t>
  </si>
  <si>
    <t>CAPEX (Capital Expenditure)</t>
  </si>
  <si>
    <t>Intangibles</t>
  </si>
  <si>
    <t>Other fixed assets</t>
  </si>
  <si>
    <t>Cashflow from investing activities</t>
  </si>
  <si>
    <t>New Equity injection</t>
  </si>
  <si>
    <t>Dividend paid</t>
  </si>
  <si>
    <t>New Loansinjection</t>
  </si>
  <si>
    <t>Cashflow from financing activities</t>
  </si>
  <si>
    <t>Net cashflow</t>
  </si>
  <si>
    <t>Opening cash balance</t>
  </si>
  <si>
    <t>Closing cash balance</t>
  </si>
  <si>
    <t>PROFITABILITY RATIOS</t>
  </si>
  <si>
    <t>Gross Profit Margin</t>
  </si>
  <si>
    <t>Operating Margin</t>
  </si>
  <si>
    <t>Net Profit Margin</t>
  </si>
  <si>
    <t>ROA</t>
  </si>
  <si>
    <t>ROE</t>
  </si>
  <si>
    <t xml:space="preserve">Terminal yr </t>
  </si>
  <si>
    <t>FREE CASHFLOW MODEL</t>
  </si>
  <si>
    <t>Debt</t>
  </si>
  <si>
    <t>Profit before interest &amp; tax</t>
  </si>
  <si>
    <t>Total Assets</t>
  </si>
  <si>
    <t>Add: Depreciation</t>
  </si>
  <si>
    <t>Debt %</t>
  </si>
  <si>
    <t>Less: CAPEX</t>
  </si>
  <si>
    <t>Equity %</t>
  </si>
  <si>
    <t>Less: Taxes</t>
  </si>
  <si>
    <t>Rf</t>
  </si>
  <si>
    <t>Less: Future working capital</t>
  </si>
  <si>
    <t>MRP</t>
  </si>
  <si>
    <t>T</t>
  </si>
  <si>
    <t>ꞵ</t>
  </si>
  <si>
    <t>Cost of equity</t>
  </si>
  <si>
    <t>Cost of debt</t>
  </si>
  <si>
    <t>Less: Repayments</t>
  </si>
  <si>
    <t>WACC</t>
  </si>
  <si>
    <t>Add: Add new capital raised</t>
  </si>
  <si>
    <t>Terminal growth</t>
  </si>
  <si>
    <t>RR</t>
  </si>
  <si>
    <t>Fundemental growth rate</t>
  </si>
  <si>
    <t>Discount Factor</t>
  </si>
  <si>
    <t>Discounted Cashflows</t>
  </si>
  <si>
    <t>PV of discounted cashflows</t>
  </si>
  <si>
    <t>Less : Debt</t>
  </si>
  <si>
    <t>Cash</t>
  </si>
  <si>
    <t>Total value</t>
  </si>
  <si>
    <t>Value of Shell</t>
  </si>
  <si>
    <t>Gain/Loss</t>
  </si>
  <si>
    <t>Dividend yield</t>
  </si>
  <si>
    <t>Total Shareholder Return</t>
  </si>
  <si>
    <t>PV of discountewd cashflows</t>
  </si>
  <si>
    <t>Total value of Shell</t>
  </si>
  <si>
    <t>Discounted DPS</t>
  </si>
  <si>
    <t>Discounted cashflows</t>
  </si>
  <si>
    <t>Cash per share</t>
  </si>
  <si>
    <t>Downside</t>
  </si>
  <si>
    <t>PE MULTIPLES</t>
  </si>
  <si>
    <t>Price earnings</t>
  </si>
  <si>
    <t>Trailing</t>
  </si>
  <si>
    <t>Forward</t>
  </si>
  <si>
    <t>Multiple</t>
  </si>
  <si>
    <t>PBv</t>
  </si>
  <si>
    <t>BVPS</t>
  </si>
  <si>
    <t>Upside/Dwonside</t>
  </si>
  <si>
    <t>Financial Model FY23</t>
  </si>
  <si>
    <t>Index</t>
  </si>
  <si>
    <t>Summary</t>
  </si>
  <si>
    <t>Assumptions</t>
  </si>
  <si>
    <t>Financial Statements</t>
  </si>
  <si>
    <t>Valuation</t>
  </si>
  <si>
    <r>
      <rPr>
        <b/>
        <sz val="16"/>
        <color theme="1"/>
        <rFont val="Times New Roman"/>
        <family val="1"/>
      </rPr>
      <t xml:space="preserve"> </t>
    </r>
    <r>
      <rPr>
        <b/>
        <sz val="16"/>
        <color theme="1"/>
        <rFont val="Wingdings"/>
        <charset val="2"/>
      </rPr>
      <t>ü</t>
    </r>
  </si>
  <si>
    <t>SHELL PAKISTAN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</si>
</sst>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%"/>
    <numFmt numFmtId="166" formatCode="0.0"/>
    <numFmt numFmtId="167" formatCode="0.00000000000000000000"/>
    <numFmt numFmtId="168" formatCode="0.000%"/>
  </numFmts>
  <fonts count="21" x14ac:knownFonts="1">
    <font>
      <sz val="10"/>
      <color rgb="FF000000"/>
      <name val="Arial"/>
      <scheme val="minor"/>
    </font>
    <font>
      <sz val="11"/>
      <color theme="1"/>
      <name val="Arial"/>
    </font>
    <font>
      <b/>
      <sz val="11"/>
      <color theme="1"/>
      <name val="Arial"/>
    </font>
    <font>
      <b/>
      <sz val="11"/>
      <color rgb="FFFFFFFF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1"/>
      <color rgb="FF0000F9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6"/>
      <color theme="1"/>
      <name val="Arial"/>
      <family val="2"/>
    </font>
    <font>
      <b/>
      <sz val="16"/>
      <color theme="1"/>
      <name val="Times New Roman"/>
      <family val="1"/>
    </font>
    <font>
      <b/>
      <sz val="16"/>
      <color theme="1"/>
      <name val="Wingdings"/>
      <charset val="2"/>
    </font>
    <font>
      <b/>
      <sz val="16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1"/>
      <color rgb="FFFFC000"/>
      <name val="Arial"/>
      <family val="2"/>
      <scheme val="minor"/>
    </font>
    <font>
      <b/>
      <sz val="10"/>
      <color rgb="FFFFC000"/>
      <name val="Arial"/>
      <family val="2"/>
      <scheme val="minor"/>
    </font>
    <font>
      <b/>
      <u/>
      <sz val="11"/>
      <color rgb="FFFFC000"/>
      <name val="Arial"/>
      <family val="2"/>
      <scheme val="minor"/>
    </font>
    <font>
      <b/>
      <sz val="18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1C24"/>
        <bgColor rgb="FFED1C2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4" xfId="0" applyFont="1" applyBorder="1"/>
    <xf numFmtId="3" fontId="3" fillId="2" borderId="5" xfId="0" applyNumberFormat="1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  <xf numFmtId="3" fontId="3" fillId="2" borderId="7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left"/>
    </xf>
    <xf numFmtId="2" fontId="1" fillId="0" borderId="9" xfId="0" applyNumberFormat="1" applyFont="1" applyBorder="1"/>
    <xf numFmtId="2" fontId="1" fillId="0" borderId="0" xfId="0" applyNumberFormat="1" applyFont="1"/>
    <xf numFmtId="164" fontId="1" fillId="0" borderId="0" xfId="0" applyNumberFormat="1" applyFont="1"/>
    <xf numFmtId="2" fontId="1" fillId="0" borderId="10" xfId="0" applyNumberFormat="1" applyFont="1" applyBorder="1"/>
    <xf numFmtId="10" fontId="1" fillId="0" borderId="9" xfId="0" applyNumberFormat="1" applyFont="1" applyBorder="1"/>
    <xf numFmtId="10" fontId="1" fillId="0" borderId="0" xfId="0" applyNumberFormat="1" applyFont="1"/>
    <xf numFmtId="10" fontId="1" fillId="0" borderId="10" xfId="0" applyNumberFormat="1" applyFont="1" applyBorder="1"/>
    <xf numFmtId="0" fontId="4" fillId="0" borderId="11" xfId="0" applyFont="1" applyBorder="1" applyAlignment="1">
      <alignment horizontal="left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4" fillId="0" borderId="0" xfId="0" applyFont="1"/>
    <xf numFmtId="3" fontId="5" fillId="0" borderId="15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3" fontId="1" fillId="0" borderId="0" xfId="0" applyNumberFormat="1" applyFont="1"/>
    <xf numFmtId="0" fontId="4" fillId="0" borderId="16" xfId="0" applyFont="1" applyBorder="1" applyAlignment="1">
      <alignment horizontal="left"/>
    </xf>
    <xf numFmtId="3" fontId="1" fillId="0" borderId="10" xfId="0" applyNumberFormat="1" applyFont="1" applyBorder="1"/>
    <xf numFmtId="4" fontId="1" fillId="0" borderId="0" xfId="0" applyNumberFormat="1" applyFont="1"/>
    <xf numFmtId="4" fontId="1" fillId="0" borderId="10" xfId="0" applyNumberFormat="1" applyFont="1" applyBorder="1"/>
    <xf numFmtId="0" fontId="4" fillId="0" borderId="17" xfId="0" applyFont="1" applyBorder="1" applyAlignment="1">
      <alignment horizontal="left"/>
    </xf>
    <xf numFmtId="3" fontId="1" fillId="0" borderId="13" xfId="0" applyNumberFormat="1" applyFont="1" applyBorder="1"/>
    <xf numFmtId="3" fontId="1" fillId="0" borderId="14" xfId="0" applyNumberFormat="1" applyFont="1" applyBorder="1"/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4" fillId="0" borderId="10" xfId="0" applyFont="1" applyBorder="1"/>
    <xf numFmtId="0" fontId="5" fillId="0" borderId="4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0" xfId="0" applyNumberFormat="1" applyFont="1" applyAlignment="1">
      <alignment horizontal="left"/>
    </xf>
    <xf numFmtId="9" fontId="4" fillId="0" borderId="10" xfId="0" applyNumberFormat="1" applyFont="1" applyBorder="1" applyAlignment="1">
      <alignment horizontal="left"/>
    </xf>
    <xf numFmtId="9" fontId="6" fillId="0" borderId="0" xfId="0" applyNumberFormat="1" applyFont="1" applyAlignment="1">
      <alignment horizontal="left"/>
    </xf>
    <xf numFmtId="9" fontId="6" fillId="0" borderId="10" xfId="0" applyNumberFormat="1" applyFont="1" applyBorder="1" applyAlignment="1">
      <alignment horizontal="left"/>
    </xf>
    <xf numFmtId="2" fontId="4" fillId="0" borderId="0" xfId="0" applyNumberFormat="1" applyFont="1" applyAlignment="1">
      <alignment horizontal="right"/>
    </xf>
    <xf numFmtId="2" fontId="4" fillId="0" borderId="10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0" xfId="0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3" fontId="4" fillId="0" borderId="10" xfId="0" applyNumberFormat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9" fontId="4" fillId="0" borderId="13" xfId="0" applyNumberFormat="1" applyFont="1" applyBorder="1" applyAlignment="1">
      <alignment horizontal="left"/>
    </xf>
    <xf numFmtId="9" fontId="4" fillId="0" borderId="14" xfId="0" applyNumberFormat="1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1" fillId="0" borderId="6" xfId="0" applyFont="1" applyBorder="1"/>
    <xf numFmtId="0" fontId="5" fillId="0" borderId="13" xfId="0" applyFont="1" applyBorder="1"/>
    <xf numFmtId="3" fontId="5" fillId="0" borderId="13" xfId="0" applyNumberFormat="1" applyFont="1" applyBorder="1" applyAlignment="1">
      <alignment horizontal="left"/>
    </xf>
    <xf numFmtId="3" fontId="5" fillId="0" borderId="14" xfId="0" applyNumberFormat="1" applyFont="1" applyBorder="1" applyAlignment="1">
      <alignment horizontal="left"/>
    </xf>
    <xf numFmtId="0" fontId="5" fillId="0" borderId="0" xfId="0" applyFont="1"/>
    <xf numFmtId="0" fontId="4" fillId="0" borderId="13" xfId="0" applyFont="1" applyBorder="1"/>
    <xf numFmtId="10" fontId="6" fillId="0" borderId="0" xfId="0" applyNumberFormat="1" applyFont="1" applyAlignment="1">
      <alignment horizontal="left"/>
    </xf>
    <xf numFmtId="10" fontId="4" fillId="0" borderId="0" xfId="0" applyNumberFormat="1" applyFont="1" applyAlignment="1">
      <alignment horizontal="left"/>
    </xf>
    <xf numFmtId="10" fontId="4" fillId="0" borderId="10" xfId="0" applyNumberFormat="1" applyFont="1" applyBorder="1" applyAlignment="1">
      <alignment horizontal="left"/>
    </xf>
    <xf numFmtId="10" fontId="4" fillId="0" borderId="13" xfId="0" applyNumberFormat="1" applyFont="1" applyBorder="1" applyAlignment="1">
      <alignment horizontal="left"/>
    </xf>
    <xf numFmtId="10" fontId="4" fillId="0" borderId="14" xfId="0" applyNumberFormat="1" applyFont="1" applyBorder="1" applyAlignment="1">
      <alignment horizontal="left"/>
    </xf>
    <xf numFmtId="0" fontId="2" fillId="0" borderId="4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0" xfId="0" applyFont="1" applyBorder="1"/>
    <xf numFmtId="9" fontId="1" fillId="0" borderId="0" xfId="0" applyNumberFormat="1" applyFont="1"/>
    <xf numFmtId="9" fontId="1" fillId="0" borderId="10" xfId="0" applyNumberFormat="1" applyFont="1" applyBorder="1"/>
    <xf numFmtId="0" fontId="1" fillId="0" borderId="11" xfId="0" applyFont="1" applyBorder="1"/>
    <xf numFmtId="9" fontId="1" fillId="0" borderId="13" xfId="0" applyNumberFormat="1" applyFont="1" applyBorder="1"/>
    <xf numFmtId="9" fontId="1" fillId="0" borderId="14" xfId="0" applyNumberFormat="1" applyFont="1" applyBorder="1"/>
    <xf numFmtId="0" fontId="2" fillId="0" borderId="0" xfId="0" applyFont="1"/>
    <xf numFmtId="3" fontId="2" fillId="0" borderId="6" xfId="0" applyNumberFormat="1" applyFont="1" applyBorder="1"/>
    <xf numFmtId="3" fontId="2" fillId="0" borderId="7" xfId="0" applyNumberFormat="1" applyFont="1" applyBorder="1"/>
    <xf numFmtId="1" fontId="1" fillId="0" borderId="0" xfId="0" applyNumberFormat="1" applyFont="1"/>
    <xf numFmtId="1" fontId="1" fillId="0" borderId="10" xfId="0" applyNumberFormat="1" applyFont="1" applyBorder="1"/>
    <xf numFmtId="1" fontId="1" fillId="0" borderId="13" xfId="0" applyNumberFormat="1" applyFont="1" applyBorder="1"/>
    <xf numFmtId="1" fontId="1" fillId="0" borderId="14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4" fillId="0" borderId="4" xfId="0" applyFont="1" applyBorder="1" applyAlignment="1">
      <alignment horizontal="left"/>
    </xf>
    <xf numFmtId="3" fontId="1" fillId="0" borderId="6" xfId="0" applyNumberFormat="1" applyFont="1" applyBorder="1"/>
    <xf numFmtId="3" fontId="1" fillId="0" borderId="7" xfId="0" applyNumberFormat="1" applyFont="1" applyBorder="1"/>
    <xf numFmtId="3" fontId="4" fillId="0" borderId="6" xfId="0" applyNumberFormat="1" applyFont="1" applyBorder="1" applyAlignment="1">
      <alignment horizontal="right"/>
    </xf>
    <xf numFmtId="3" fontId="4" fillId="0" borderId="7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3" fontId="4" fillId="0" borderId="10" xfId="0" applyNumberFormat="1" applyFont="1" applyBorder="1" applyAlignment="1">
      <alignment horizontal="right"/>
    </xf>
    <xf numFmtId="3" fontId="4" fillId="0" borderId="0" xfId="0" applyNumberFormat="1" applyFont="1"/>
    <xf numFmtId="3" fontId="4" fillId="0" borderId="10" xfId="0" applyNumberFormat="1" applyFont="1" applyBorder="1"/>
    <xf numFmtId="0" fontId="5" fillId="0" borderId="8" xfId="0" applyFont="1" applyBorder="1" applyAlignment="1">
      <alignment horizontal="left"/>
    </xf>
    <xf numFmtId="3" fontId="5" fillId="0" borderId="0" xfId="0" applyNumberFormat="1" applyFont="1"/>
    <xf numFmtId="3" fontId="5" fillId="0" borderId="10" xfId="0" applyNumberFormat="1" applyFont="1" applyBorder="1"/>
    <xf numFmtId="3" fontId="5" fillId="0" borderId="0" xfId="0" applyNumberFormat="1" applyFont="1" applyAlignment="1">
      <alignment horizontal="left"/>
    </xf>
    <xf numFmtId="3" fontId="5" fillId="0" borderId="10" xfId="0" applyNumberFormat="1" applyFont="1" applyBorder="1" applyAlignment="1">
      <alignment horizontal="left"/>
    </xf>
    <xf numFmtId="9" fontId="4" fillId="0" borderId="0" xfId="0" applyNumberFormat="1" applyFont="1"/>
    <xf numFmtId="9" fontId="4" fillId="0" borderId="10" xfId="0" applyNumberFormat="1" applyFont="1" applyBorder="1"/>
    <xf numFmtId="9" fontId="6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9" fontId="4" fillId="0" borderId="10" xfId="0" applyNumberFormat="1" applyFont="1" applyBorder="1" applyAlignment="1">
      <alignment horizontal="right"/>
    </xf>
    <xf numFmtId="10" fontId="4" fillId="0" borderId="0" xfId="0" applyNumberFormat="1" applyFont="1"/>
    <xf numFmtId="10" fontId="4" fillId="0" borderId="10" xfId="0" applyNumberFormat="1" applyFont="1" applyBorder="1"/>
    <xf numFmtId="10" fontId="6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right"/>
    </xf>
    <xf numFmtId="10" fontId="4" fillId="0" borderId="10" xfId="0" applyNumberFormat="1" applyFont="1" applyBorder="1" applyAlignment="1">
      <alignment horizontal="right"/>
    </xf>
    <xf numFmtId="10" fontId="1" fillId="0" borderId="6" xfId="0" applyNumberFormat="1" applyFont="1" applyBorder="1"/>
    <xf numFmtId="0" fontId="6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0" xfId="0" applyFont="1" applyBorder="1" applyAlignment="1">
      <alignment horizontal="right"/>
    </xf>
    <xf numFmtId="0" fontId="2" fillId="0" borderId="8" xfId="0" applyFont="1" applyBorder="1"/>
    <xf numFmtId="0" fontId="2" fillId="0" borderId="11" xfId="0" applyFont="1" applyBorder="1"/>
    <xf numFmtId="3" fontId="2" fillId="0" borderId="13" xfId="0" applyNumberFormat="1" applyFont="1" applyBorder="1"/>
    <xf numFmtId="3" fontId="2" fillId="0" borderId="11" xfId="0" applyNumberFormat="1" applyFont="1" applyBorder="1"/>
    <xf numFmtId="3" fontId="2" fillId="0" borderId="14" xfId="0" applyNumberFormat="1" applyFont="1" applyBorder="1"/>
    <xf numFmtId="1" fontId="1" fillId="0" borderId="6" xfId="0" applyNumberFormat="1" applyFont="1" applyBorder="1"/>
    <xf numFmtId="1" fontId="1" fillId="0" borderId="7" xfId="0" applyNumberFormat="1" applyFont="1" applyBorder="1"/>
    <xf numFmtId="1" fontId="1" fillId="0" borderId="8" xfId="0" applyNumberFormat="1" applyFont="1" applyBorder="1"/>
    <xf numFmtId="10" fontId="1" fillId="0" borderId="8" xfId="0" applyNumberFormat="1" applyFont="1" applyBorder="1"/>
    <xf numFmtId="1" fontId="2" fillId="0" borderId="4" xfId="0" applyNumberFormat="1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1" fontId="1" fillId="0" borderId="11" xfId="0" applyNumberFormat="1" applyFont="1" applyBorder="1"/>
    <xf numFmtId="3" fontId="2" fillId="0" borderId="2" xfId="0" applyNumberFormat="1" applyFont="1" applyBorder="1"/>
    <xf numFmtId="3" fontId="2" fillId="0" borderId="3" xfId="0" applyNumberFormat="1" applyFont="1" applyBorder="1"/>
    <xf numFmtId="2" fontId="1" fillId="0" borderId="8" xfId="0" applyNumberFormat="1" applyFont="1" applyBorder="1"/>
    <xf numFmtId="9" fontId="1" fillId="0" borderId="8" xfId="0" applyNumberFormat="1" applyFont="1" applyBorder="1"/>
    <xf numFmtId="0" fontId="2" fillId="0" borderId="2" xfId="0" applyFont="1" applyBorder="1"/>
    <xf numFmtId="0" fontId="2" fillId="0" borderId="3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1" fillId="0" borderId="2" xfId="0" applyFont="1" applyBorder="1"/>
    <xf numFmtId="3" fontId="1" fillId="0" borderId="8" xfId="0" applyNumberFormat="1" applyFont="1" applyBorder="1"/>
    <xf numFmtId="0" fontId="2" fillId="0" borderId="13" xfId="0" applyFont="1" applyBorder="1"/>
    <xf numFmtId="0" fontId="1" fillId="0" borderId="1" xfId="0" applyFont="1" applyBorder="1"/>
    <xf numFmtId="0" fontId="5" fillId="0" borderId="11" xfId="0" applyFont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3" fontId="2" fillId="0" borderId="4" xfId="0" applyNumberFormat="1" applyFont="1" applyBorder="1"/>
    <xf numFmtId="0" fontId="1" fillId="4" borderId="8" xfId="0" applyFont="1" applyFill="1" applyBorder="1"/>
    <xf numFmtId="0" fontId="1" fillId="0" borderId="0" xfId="0" applyFont="1" applyAlignment="1">
      <alignment wrapText="1"/>
    </xf>
    <xf numFmtId="165" fontId="1" fillId="0" borderId="0" xfId="0" applyNumberFormat="1" applyFont="1"/>
    <xf numFmtId="165" fontId="1" fillId="0" borderId="10" xfId="0" applyNumberFormat="1" applyFont="1" applyBorder="1"/>
    <xf numFmtId="3" fontId="1" fillId="0" borderId="11" xfId="0" applyNumberFormat="1" applyFont="1" applyBorder="1"/>
    <xf numFmtId="3" fontId="4" fillId="0" borderId="8" xfId="0" applyNumberFormat="1" applyFont="1" applyBorder="1" applyAlignment="1">
      <alignment horizontal="left"/>
    </xf>
    <xf numFmtId="3" fontId="1" fillId="0" borderId="0" xfId="0" applyNumberFormat="1" applyFont="1" applyAlignment="1">
      <alignment horizontal="right"/>
    </xf>
    <xf numFmtId="3" fontId="5" fillId="0" borderId="8" xfId="0" applyNumberFormat="1" applyFont="1" applyBorder="1" applyAlignment="1">
      <alignment horizontal="left"/>
    </xf>
    <xf numFmtId="3" fontId="4" fillId="0" borderId="11" xfId="0" applyNumberFormat="1" applyFont="1" applyBorder="1" applyAlignment="1">
      <alignment horizontal="left"/>
    </xf>
    <xf numFmtId="3" fontId="2" fillId="0" borderId="0" xfId="0" applyNumberFormat="1" applyFont="1"/>
    <xf numFmtId="3" fontId="2" fillId="0" borderId="8" xfId="0" applyNumberFormat="1" applyFont="1" applyBorder="1"/>
    <xf numFmtId="3" fontId="1" fillId="4" borderId="8" xfId="0" applyNumberFormat="1" applyFont="1" applyFill="1" applyBorder="1"/>
    <xf numFmtId="0" fontId="7" fillId="4" borderId="8" xfId="0" applyFont="1" applyFill="1" applyBorder="1"/>
    <xf numFmtId="0" fontId="8" fillId="0" borderId="10" xfId="0" applyFont="1" applyBorder="1"/>
    <xf numFmtId="3" fontId="1" fillId="4" borderId="0" xfId="0" applyNumberFormat="1" applyFont="1" applyFill="1"/>
    <xf numFmtId="3" fontId="2" fillId="0" borderId="10" xfId="0" applyNumberFormat="1" applyFont="1" applyBorder="1"/>
    <xf numFmtId="9" fontId="1" fillId="0" borderId="0" xfId="0" applyNumberFormat="1" applyFont="1" applyAlignment="1">
      <alignment horizontal="right"/>
    </xf>
    <xf numFmtId="166" fontId="1" fillId="0" borderId="0" xfId="0" applyNumberFormat="1" applyFont="1"/>
    <xf numFmtId="166" fontId="1" fillId="0" borderId="10" xfId="0" applyNumberFormat="1" applyFont="1" applyBorder="1"/>
    <xf numFmtId="167" fontId="1" fillId="0" borderId="14" xfId="0" applyNumberFormat="1" applyFont="1" applyBorder="1"/>
    <xf numFmtId="3" fontId="3" fillId="2" borderId="2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3" fontId="4" fillId="0" borderId="4" xfId="0" applyNumberFormat="1" applyFont="1" applyBorder="1"/>
    <xf numFmtId="3" fontId="4" fillId="0" borderId="8" xfId="0" applyNumberFormat="1" applyFont="1" applyBorder="1"/>
    <xf numFmtId="10" fontId="1" fillId="0" borderId="7" xfId="0" applyNumberFormat="1" applyFont="1" applyBorder="1"/>
    <xf numFmtId="3" fontId="4" fillId="0" borderId="8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3" fontId="4" fillId="0" borderId="11" xfId="0" applyNumberFormat="1" applyFont="1" applyBorder="1" applyAlignment="1">
      <alignment horizontal="right"/>
    </xf>
    <xf numFmtId="3" fontId="2" fillId="0" borderId="13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left"/>
    </xf>
    <xf numFmtId="3" fontId="1" fillId="0" borderId="4" xfId="0" applyNumberFormat="1" applyFont="1" applyBorder="1"/>
    <xf numFmtId="165" fontId="1" fillId="0" borderId="8" xfId="0" applyNumberFormat="1" applyFont="1" applyBorder="1"/>
    <xf numFmtId="3" fontId="2" fillId="0" borderId="1" xfId="0" applyNumberFormat="1" applyFont="1" applyBorder="1"/>
    <xf numFmtId="3" fontId="1" fillId="4" borderId="10" xfId="0" applyNumberFormat="1" applyFont="1" applyFill="1" applyBorder="1"/>
    <xf numFmtId="3" fontId="1" fillId="4" borderId="6" xfId="0" applyNumberFormat="1" applyFont="1" applyFill="1" applyBorder="1"/>
    <xf numFmtId="3" fontId="1" fillId="4" borderId="7" xfId="0" applyNumberFormat="1" applyFont="1" applyFill="1" applyBorder="1"/>
    <xf numFmtId="3" fontId="2" fillId="0" borderId="4" xfId="0" applyNumberFormat="1" applyFont="1" applyBorder="1" applyAlignment="1">
      <alignment horizontal="left"/>
    </xf>
    <xf numFmtId="3" fontId="1" fillId="0" borderId="8" xfId="0" applyNumberFormat="1" applyFont="1" applyBorder="1" applyAlignment="1">
      <alignment horizontal="left"/>
    </xf>
    <xf numFmtId="168" fontId="1" fillId="0" borderId="10" xfId="0" applyNumberFormat="1" applyFont="1" applyBorder="1"/>
    <xf numFmtId="3" fontId="1" fillId="0" borderId="11" xfId="0" applyNumberFormat="1" applyFont="1" applyBorder="1" applyAlignment="1">
      <alignment horizontal="left"/>
    </xf>
    <xf numFmtId="0" fontId="4" fillId="0" borderId="1" xfId="0" applyFont="1" applyBorder="1"/>
    <xf numFmtId="0" fontId="3" fillId="2" borderId="2" xfId="0" applyFont="1" applyFill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4" fillId="0" borderId="0" xfId="0" applyFont="1" applyAlignment="1">
      <alignment horizontal="right"/>
    </xf>
    <xf numFmtId="3" fontId="5" fillId="0" borderId="6" xfId="0" applyNumberFormat="1" applyFont="1" applyBorder="1" applyAlignment="1">
      <alignment horizontal="right"/>
    </xf>
    <xf numFmtId="3" fontId="5" fillId="0" borderId="18" xfId="0" applyNumberFormat="1" applyFont="1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3" fontId="4" fillId="0" borderId="18" xfId="0" applyNumberFormat="1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1" fontId="4" fillId="0" borderId="18" xfId="0" applyNumberFormat="1" applyFont="1" applyBorder="1"/>
    <xf numFmtId="0" fontId="4" fillId="0" borderId="15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4" fontId="4" fillId="0" borderId="10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right"/>
    </xf>
    <xf numFmtId="2" fontId="4" fillId="0" borderId="0" xfId="0" applyNumberFormat="1" applyFont="1"/>
    <xf numFmtId="0" fontId="4" fillId="0" borderId="16" xfId="0" applyFont="1" applyBorder="1" applyAlignment="1">
      <alignment horizontal="right"/>
    </xf>
    <xf numFmtId="164" fontId="4" fillId="0" borderId="10" xfId="0" applyNumberFormat="1" applyFont="1" applyBorder="1" applyAlignment="1">
      <alignment horizontal="right"/>
    </xf>
    <xf numFmtId="164" fontId="4" fillId="0" borderId="16" xfId="0" applyNumberFormat="1" applyFont="1" applyBorder="1" applyAlignment="1">
      <alignment horizontal="right"/>
    </xf>
    <xf numFmtId="2" fontId="4" fillId="0" borderId="16" xfId="0" applyNumberFormat="1" applyFont="1" applyBorder="1" applyAlignment="1">
      <alignment horizontal="right"/>
    </xf>
    <xf numFmtId="10" fontId="4" fillId="0" borderId="16" xfId="0" applyNumberFormat="1" applyFont="1" applyBorder="1" applyAlignment="1">
      <alignment horizontal="right"/>
    </xf>
    <xf numFmtId="165" fontId="1" fillId="0" borderId="19" xfId="0" applyNumberFormat="1" applyFont="1" applyBorder="1"/>
    <xf numFmtId="0" fontId="10" fillId="0" borderId="0" xfId="0" applyFont="1" applyAlignment="1">
      <alignment horizontal="center"/>
    </xf>
    <xf numFmtId="3" fontId="5" fillId="0" borderId="20" xfId="0" applyNumberFormat="1" applyFont="1" applyBorder="1" applyAlignment="1">
      <alignment horizontal="right"/>
    </xf>
    <xf numFmtId="9" fontId="4" fillId="3" borderId="20" xfId="0" applyNumberFormat="1" applyFont="1" applyFill="1" applyBorder="1" applyAlignment="1">
      <alignment horizontal="left"/>
    </xf>
    <xf numFmtId="10" fontId="4" fillId="3" borderId="20" xfId="0" applyNumberFormat="1" applyFont="1" applyFill="1" applyBorder="1" applyAlignment="1">
      <alignment horizontal="left"/>
    </xf>
    <xf numFmtId="0" fontId="4" fillId="3" borderId="20" xfId="0" applyFont="1" applyFill="1" applyBorder="1" applyAlignment="1">
      <alignment horizontal="right"/>
    </xf>
    <xf numFmtId="10" fontId="5" fillId="3" borderId="20" xfId="0" applyNumberFormat="1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15" fillId="0" borderId="0" xfId="0" applyFont="1"/>
    <xf numFmtId="0" fontId="16" fillId="0" borderId="0" xfId="0" applyFont="1"/>
    <xf numFmtId="0" fontId="9" fillId="0" borderId="0" xfId="0" applyFont="1"/>
    <xf numFmtId="0" fontId="17" fillId="0" borderId="0" xfId="0" applyFont="1"/>
    <xf numFmtId="0" fontId="18" fillId="0" borderId="0" xfId="0" applyFont="1"/>
    <xf numFmtId="0" fontId="19" fillId="0" borderId="0" xfId="1" applyFont="1"/>
    <xf numFmtId="0" fontId="20" fillId="0" borderId="0" xfId="0" applyFont="1"/>
    <xf numFmtId="0" fontId="0" fillId="0" borderId="0" xfId="0"/>
    <xf numFmtId="0" fontId="1" fillId="0" borderId="0" xfId="0" applyFo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1</xdr:row>
      <xdr:rowOff>47625</xdr:rowOff>
    </xdr:from>
    <xdr:ext cx="1133475" cy="11239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10150" y="228600"/>
          <a:ext cx="1133475" cy="11239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828675</xdr:colOff>
      <xdr:row>0</xdr:row>
      <xdr:rowOff>19050</xdr:rowOff>
    </xdr:from>
    <xdr:ext cx="923925" cy="8572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00" y="19050"/>
          <a:ext cx="923925" cy="8572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66675</xdr:colOff>
      <xdr:row>0</xdr:row>
      <xdr:rowOff>0</xdr:rowOff>
    </xdr:from>
    <xdr:ext cx="923925" cy="8572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306550" y="133350"/>
          <a:ext cx="923925" cy="8572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171450</xdr:colOff>
      <xdr:row>0</xdr:row>
      <xdr:rowOff>123825</xdr:rowOff>
    </xdr:from>
    <xdr:ext cx="923925" cy="8572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487400" y="123825"/>
          <a:ext cx="923925" cy="8572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276225</xdr:colOff>
      <xdr:row>1</xdr:row>
      <xdr:rowOff>19050</xdr:rowOff>
    </xdr:from>
    <xdr:ext cx="923925" cy="8572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K18"/>
  <sheetViews>
    <sheetView tabSelected="1" zoomScaleNormal="100" workbookViewId="0">
      <selection activeCell="D9" sqref="D9"/>
    </sheetView>
  </sheetViews>
  <sheetFormatPr defaultRowHeight="12.5" x14ac:dyDescent="0.25"/>
  <sheetData>
    <row r="3" spans="3:11" ht="23" x14ac:dyDescent="0.5">
      <c r="C3" s="223" t="s">
        <v>365</v>
      </c>
    </row>
    <row r="4" spans="3:11" ht="20" x14ac:dyDescent="0.4">
      <c r="C4" s="217" t="s">
        <v>358</v>
      </c>
      <c r="D4" s="218"/>
      <c r="E4" s="218"/>
      <c r="F4" s="218"/>
    </row>
    <row r="5" spans="3:11" ht="14" x14ac:dyDescent="0.3">
      <c r="K5" s="209"/>
    </row>
    <row r="6" spans="3:11" ht="14" x14ac:dyDescent="0.3">
      <c r="C6" s="219" t="s">
        <v>359</v>
      </c>
      <c r="D6" s="220"/>
      <c r="E6" s="221"/>
      <c r="F6" s="221"/>
    </row>
    <row r="7" spans="3:11" ht="14" x14ac:dyDescent="0.3">
      <c r="C7" s="219">
        <v>1</v>
      </c>
      <c r="D7" s="222" t="s">
        <v>360</v>
      </c>
      <c r="E7" s="221"/>
      <c r="F7" s="221"/>
    </row>
    <row r="8" spans="3:11" ht="14" x14ac:dyDescent="0.3">
      <c r="C8" s="219">
        <v>2</v>
      </c>
      <c r="D8" s="222" t="s">
        <v>361</v>
      </c>
      <c r="E8" s="221"/>
      <c r="F8" s="221"/>
    </row>
    <row r="9" spans="3:11" ht="14" x14ac:dyDescent="0.3">
      <c r="C9" s="219">
        <v>3</v>
      </c>
      <c r="D9" s="222" t="s">
        <v>362</v>
      </c>
      <c r="E9" s="221"/>
      <c r="F9" s="221"/>
    </row>
    <row r="10" spans="3:11" ht="14" x14ac:dyDescent="0.3">
      <c r="C10" s="219">
        <v>4</v>
      </c>
      <c r="D10" s="222" t="s">
        <v>363</v>
      </c>
      <c r="E10" s="221"/>
      <c r="F10" s="221"/>
    </row>
    <row r="11" spans="3:11" ht="13" x14ac:dyDescent="0.3">
      <c r="D11" s="221"/>
      <c r="E11" s="221"/>
      <c r="F11" s="221"/>
    </row>
    <row r="17" customFormat="1" x14ac:dyDescent="0.25"/>
    <row r="18" customFormat="1" x14ac:dyDescent="0.25"/>
  </sheetData>
  <hyperlinks>
    <hyperlink ref="D7" location="Summary!A1" display="Summary" xr:uid="{00000000-0004-0000-0100-000000000000}"/>
    <hyperlink ref="D8" location="Assumptions!A1" display="Assumptions" xr:uid="{00000000-0004-0000-0100-000001000000}"/>
    <hyperlink ref="D9" location="FS!A1" display="Financial Statements" xr:uid="{00000000-0004-0000-0100-000002000000}"/>
    <hyperlink ref="D10" location="Valuation!A1" display="Valuation" xr:uid="{00000000-0004-0000-0100-000003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9"/>
  <sheetViews>
    <sheetView workbookViewId="0"/>
  </sheetViews>
  <sheetFormatPr defaultColWidth="12.54296875" defaultRowHeight="15.75" customHeight="1" x14ac:dyDescent="0.25"/>
  <cols>
    <col min="1" max="1" width="13.81640625" customWidth="1"/>
  </cols>
  <sheetData>
    <row r="1" spans="1:26" ht="21" customHeight="1" x14ac:dyDescent="0.4">
      <c r="A1" s="1"/>
      <c r="B1" s="215" t="s">
        <v>364</v>
      </c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3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  <c r="I2" s="216"/>
      <c r="J2" s="216"/>
      <c r="K2" s="21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" x14ac:dyDescent="0.3">
      <c r="A3" s="7" t="s">
        <v>7</v>
      </c>
      <c r="B3" s="8">
        <f ca="1">Valuation!B27</f>
        <v>217.80644253621927</v>
      </c>
      <c r="C3" s="9">
        <f ca="1">Valuation!B42</f>
        <v>224.2473851766664</v>
      </c>
      <c r="D3" s="9">
        <f>Valuation!B55</f>
        <v>66.968835461920634</v>
      </c>
      <c r="E3" s="10">
        <f>Valuation!B66</f>
        <v>-1.3514891101661919</v>
      </c>
      <c r="F3" s="10">
        <f ca="1">Valuation!C66</f>
        <v>-30.780354555556336</v>
      </c>
      <c r="G3" s="9">
        <f>Valuation!B75</f>
        <v>102.30429659550168</v>
      </c>
      <c r="H3" s="11">
        <f ca="1">Valuation!C75</f>
        <v>65.931295454178809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" x14ac:dyDescent="0.3">
      <c r="A4" s="7" t="s">
        <v>8</v>
      </c>
      <c r="B4" s="8">
        <f>Valuation!B28</f>
        <v>74.42</v>
      </c>
      <c r="C4" s="9">
        <f>Valuation!B43</f>
        <v>74.42</v>
      </c>
      <c r="D4" s="9">
        <f>Valuation!B56</f>
        <v>74.42</v>
      </c>
      <c r="E4" s="9">
        <f>Valuation!B67</f>
        <v>74.42</v>
      </c>
      <c r="F4" s="9">
        <f>Valuation!C67</f>
        <v>74.42</v>
      </c>
      <c r="G4" s="9">
        <f>Valuation!B76</f>
        <v>74.42</v>
      </c>
      <c r="H4" s="11">
        <f>Valuation!C76</f>
        <v>74.42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" x14ac:dyDescent="0.3">
      <c r="A5" s="7" t="s">
        <v>9</v>
      </c>
      <c r="B5" s="12">
        <f t="shared" ref="B5:H5" ca="1" si="0">B3/B4-1</f>
        <v>1.926719195595529</v>
      </c>
      <c r="C5" s="13">
        <f t="shared" ca="1" si="0"/>
        <v>2.0132677395413383</v>
      </c>
      <c r="D5" s="13">
        <f t="shared" si="0"/>
        <v>-0.10012314617145079</v>
      </c>
      <c r="E5" s="13">
        <f t="shared" si="0"/>
        <v>-1.018160294412338</v>
      </c>
      <c r="F5" s="13">
        <f t="shared" ca="1" si="0"/>
        <v>-1.4136032592791767</v>
      </c>
      <c r="G5" s="13">
        <f t="shared" si="0"/>
        <v>0.37468821009811459</v>
      </c>
      <c r="H5" s="14">
        <f t="shared" ca="1" si="0"/>
        <v>-0.11406482861893563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" x14ac:dyDescent="0.3">
      <c r="A6" s="7" t="s">
        <v>10</v>
      </c>
      <c r="B6" s="12">
        <f>Valuation!B30</f>
        <v>4.0311744154797095E-2</v>
      </c>
      <c r="C6" s="13">
        <f>Valuation!B45</f>
        <v>4.0311744154797095E-2</v>
      </c>
      <c r="D6" s="13">
        <f>Valuation!B58</f>
        <v>4.0311744154797095E-2</v>
      </c>
      <c r="E6" s="13">
        <f>Valuation!B69</f>
        <v>4.0311744154797095E-2</v>
      </c>
      <c r="F6" s="13">
        <f>Valuation!C69</f>
        <v>4.0311744154797095E-2</v>
      </c>
      <c r="G6" s="13">
        <f>Valuation!B78</f>
        <v>4.0311744154797095E-2</v>
      </c>
      <c r="H6" s="14">
        <f>Valuation!C78</f>
        <v>4.0311744154797095E-2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" x14ac:dyDescent="0.3">
      <c r="A7" s="7" t="s">
        <v>11</v>
      </c>
      <c r="B7" s="12">
        <f t="shared" ref="B7:H7" ca="1" si="1">SUM(B5:B6)</f>
        <v>1.9670309397503261</v>
      </c>
      <c r="C7" s="13">
        <f t="shared" ca="1" si="1"/>
        <v>2.0535794836961352</v>
      </c>
      <c r="D7" s="13">
        <f t="shared" si="1"/>
        <v>-5.9811402016653699E-2</v>
      </c>
      <c r="E7" s="13">
        <f t="shared" si="1"/>
        <v>-0.97784855025754092</v>
      </c>
      <c r="F7" s="13">
        <f t="shared" ca="1" si="1"/>
        <v>-1.3732915151243796</v>
      </c>
      <c r="G7" s="13">
        <f t="shared" si="1"/>
        <v>0.4149999542529117</v>
      </c>
      <c r="H7" s="14">
        <f t="shared" ca="1" si="1"/>
        <v>-7.375308446413853E-2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" x14ac:dyDescent="0.3">
      <c r="A8" s="15" t="s">
        <v>12</v>
      </c>
      <c r="B8" s="16" t="s">
        <v>13</v>
      </c>
      <c r="C8" s="17" t="s">
        <v>13</v>
      </c>
      <c r="D8" s="17" t="s">
        <v>14</v>
      </c>
      <c r="E8" s="17" t="s">
        <v>14</v>
      </c>
      <c r="F8" s="17" t="s">
        <v>14</v>
      </c>
      <c r="G8" s="17" t="s">
        <v>13</v>
      </c>
      <c r="H8" s="18" t="s">
        <v>14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" x14ac:dyDescent="0.3">
      <c r="A9" s="1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20"/>
      <c r="B10" s="5" t="s">
        <v>15</v>
      </c>
      <c r="C10" s="5" t="s">
        <v>16</v>
      </c>
      <c r="D10" s="5" t="s">
        <v>17</v>
      </c>
      <c r="E10" s="5" t="s">
        <v>18</v>
      </c>
      <c r="F10" s="6" t="s">
        <v>19</v>
      </c>
      <c r="G10" s="5" t="s">
        <v>20</v>
      </c>
      <c r="H10" s="5" t="s">
        <v>21</v>
      </c>
      <c r="I10" s="5" t="s">
        <v>22</v>
      </c>
      <c r="J10" s="5" t="s">
        <v>23</v>
      </c>
      <c r="K10" s="6" t="s">
        <v>24</v>
      </c>
      <c r="L10" s="2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4" x14ac:dyDescent="0.3">
      <c r="A11" s="23" t="s">
        <v>25</v>
      </c>
      <c r="B11" s="22">
        <f>FS!B7</f>
        <v>186203555</v>
      </c>
      <c r="C11" s="22">
        <f>FS!C7</f>
        <v>199718601</v>
      </c>
      <c r="D11" s="22">
        <f>FS!D7</f>
        <v>165139915</v>
      </c>
      <c r="E11" s="22">
        <f>FS!E7</f>
        <v>249209984</v>
      </c>
      <c r="F11" s="24">
        <f>FS!F7</f>
        <v>412699059</v>
      </c>
      <c r="G11" s="22">
        <f>FS!G7</f>
        <v>747142131.47395182</v>
      </c>
      <c r="H11" s="22">
        <f>FS!H7</f>
        <v>902531774.54716766</v>
      </c>
      <c r="I11" s="22">
        <f>FS!I7</f>
        <v>1101457145.2636859</v>
      </c>
      <c r="J11" s="22">
        <f>FS!J7</f>
        <v>1356609692.9640186</v>
      </c>
      <c r="K11" s="24">
        <f>FS!K7</f>
        <v>1670225933.7492299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" x14ac:dyDescent="0.3">
      <c r="A12" s="23" t="s">
        <v>26</v>
      </c>
      <c r="B12" s="22">
        <f>FS!B9</f>
        <v>15424375</v>
      </c>
      <c r="C12" s="22">
        <f>FS!C9</f>
        <v>15097474</v>
      </c>
      <c r="D12" s="22">
        <f>FS!D9</f>
        <v>7549635</v>
      </c>
      <c r="E12" s="22">
        <f>FS!E9</f>
        <v>23665985</v>
      </c>
      <c r="F12" s="24">
        <f>FS!F9</f>
        <v>33592886</v>
      </c>
      <c r="G12" s="22">
        <f>FS!G9</f>
        <v>22293534.852382407</v>
      </c>
      <c r="H12" s="22">
        <f>FS!H9</f>
        <v>27554809.077544656</v>
      </c>
      <c r="I12" s="22">
        <f>FS!I9</f>
        <v>28657001.440646444</v>
      </c>
      <c r="J12" s="22">
        <f>FS!J9</f>
        <v>30089851.512678765</v>
      </c>
      <c r="K12" s="24">
        <f>FS!K9</f>
        <v>31594344.088312708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" x14ac:dyDescent="0.3">
      <c r="A13" s="23" t="s">
        <v>27</v>
      </c>
      <c r="B13" s="22">
        <f>FS!B10+FS!B11+FS!B12</f>
        <v>-16595015</v>
      </c>
      <c r="C13" s="22">
        <f>FS!C10+FS!C11+FS!C12</f>
        <v>-15223090</v>
      </c>
      <c r="D13" s="22">
        <f>FS!D10+FS!D11+FS!D12</f>
        <v>-12507716</v>
      </c>
      <c r="E13" s="22">
        <f>FS!E10+FS!E11+FS!E12</f>
        <v>-17656987</v>
      </c>
      <c r="F13" s="24">
        <f>FS!F10+FS!F11+FS!F12</f>
        <v>-32058196</v>
      </c>
      <c r="G13" s="22">
        <f ca="1">FS!G10+FS!G11+FS!G12</f>
        <v>-25010015.620279737</v>
      </c>
      <c r="H13" s="22">
        <f ca="1">FS!H10+FS!H11+FS!H12</f>
        <v>-27317235.980100088</v>
      </c>
      <c r="I13" s="22">
        <f ca="1">FS!I10+FS!I11+FS!I12</f>
        <v>-29376017.910109218</v>
      </c>
      <c r="J13" s="22">
        <f ca="1">FS!J10+FS!J11+FS!J12</f>
        <v>-31570070.088414732</v>
      </c>
      <c r="K13" s="24">
        <f ca="1">FS!K10+FS!K11+FS!K12</f>
        <v>-34058163.621351853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" x14ac:dyDescent="0.3">
      <c r="A14" s="23" t="s">
        <v>28</v>
      </c>
      <c r="B14" s="22">
        <f>FS!B15</f>
        <v>-370159</v>
      </c>
      <c r="C14" s="22">
        <f>FS!C15</f>
        <v>-1522768</v>
      </c>
      <c r="D14" s="22">
        <f>FS!D15</f>
        <v>-1514063</v>
      </c>
      <c r="E14" s="22">
        <f>FS!E15</f>
        <v>-834770</v>
      </c>
      <c r="F14" s="24">
        <f>FS!F15</f>
        <v>-1358252</v>
      </c>
      <c r="G14" s="22">
        <f>FS!G15</f>
        <v>-825559.5</v>
      </c>
      <c r="H14" s="22">
        <f>FS!H15</f>
        <v>-825559.5</v>
      </c>
      <c r="I14" s="22">
        <f>FS!I15</f>
        <v>-825559.5</v>
      </c>
      <c r="J14" s="22">
        <f>FS!J15</f>
        <v>-825559.5</v>
      </c>
      <c r="K14" s="24">
        <f>FS!K15</f>
        <v>-825559.5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" x14ac:dyDescent="0.3">
      <c r="A15" s="23" t="s">
        <v>29</v>
      </c>
      <c r="B15" s="22">
        <f>FS!B18</f>
        <v>-1042311</v>
      </c>
      <c r="C15" s="22">
        <f>FS!C18</f>
        <v>-1345801</v>
      </c>
      <c r="D15" s="22">
        <f>FS!D18</f>
        <v>-5766</v>
      </c>
      <c r="E15" s="22">
        <f>FS!E18</f>
        <v>-2141651</v>
      </c>
      <c r="F15" s="24">
        <f>FS!F18</f>
        <v>-2987416</v>
      </c>
      <c r="G15" s="22">
        <f ca="1">FS!G18</f>
        <v>-6380197.4496936277</v>
      </c>
      <c r="H15" s="22">
        <f ca="1">FS!H18</f>
        <v>-7459896.2637570379</v>
      </c>
      <c r="I15" s="22">
        <f ca="1">FS!I18</f>
        <v>-8808199.0925565604</v>
      </c>
      <c r="J15" s="22">
        <f ca="1">FS!J18</f>
        <v>-10774058.944829844</v>
      </c>
      <c r="K15" s="24">
        <f ca="1">FS!K18</f>
        <v>-13175864.675658407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" x14ac:dyDescent="0.3">
      <c r="A16" s="23" t="s">
        <v>30</v>
      </c>
      <c r="B16" s="22">
        <f>FS!B19</f>
        <v>-1101985</v>
      </c>
      <c r="C16" s="22">
        <f>FS!C19</f>
        <v>-1485767</v>
      </c>
      <c r="D16" s="22">
        <f>FS!D19</f>
        <v>-4821027</v>
      </c>
      <c r="E16" s="22">
        <f>FS!E19</f>
        <v>4466855</v>
      </c>
      <c r="F16" s="24">
        <f>FS!F19</f>
        <v>-72313</v>
      </c>
      <c r="G16" s="22">
        <f ca="1">FS!G19</f>
        <v>-2195918.3266643696</v>
      </c>
      <c r="H16" s="22">
        <f ca="1">FS!H19</f>
        <v>-765614.52029058803</v>
      </c>
      <c r="I16" s="22">
        <f ca="1">FS!I19</f>
        <v>-3894279.1707432354</v>
      </c>
      <c r="J16" s="22">
        <f ca="1">FS!J19</f>
        <v>-6132734.8722802848</v>
      </c>
      <c r="K16" s="24">
        <f ca="1">FS!K19</f>
        <v>-9039389.035934465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" x14ac:dyDescent="0.3">
      <c r="A17" s="23" t="s">
        <v>31</v>
      </c>
      <c r="B17" s="25">
        <f>FS!B21</f>
        <v>-10.297738491464129</v>
      </c>
      <c r="C17" s="25">
        <f>FS!C21</f>
        <v>-13.884072855117976</v>
      </c>
      <c r="D17" s="25">
        <f>FS!D21</f>
        <v>-31.185854998217156</v>
      </c>
      <c r="E17" s="25">
        <f>FS!E21</f>
        <v>21.8835917288704</v>
      </c>
      <c r="F17" s="26">
        <f>FS!F21</f>
        <v>-0.33787227754154797</v>
      </c>
      <c r="G17" s="25">
        <f ca="1">FS!G21</f>
        <v>-10.260118185185451</v>
      </c>
      <c r="H17" s="25">
        <f ca="1">FS!H21</f>
        <v>-3.5772256950957737</v>
      </c>
      <c r="I17" s="25">
        <f ca="1">FS!I21</f>
        <v>-18.195469318125756</v>
      </c>
      <c r="J17" s="25">
        <f ca="1">FS!J21</f>
        <v>-28.654337378560069</v>
      </c>
      <c r="K17" s="26">
        <f ca="1">FS!K21</f>
        <v>-42.235268363299483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" x14ac:dyDescent="0.3">
      <c r="A18" s="27" t="s">
        <v>32</v>
      </c>
      <c r="B18" s="28">
        <f>FS!B22</f>
        <v>7</v>
      </c>
      <c r="C18" s="28">
        <f>FS!C22</f>
        <v>0</v>
      </c>
      <c r="D18" s="28">
        <f>FS!D22</f>
        <v>0</v>
      </c>
      <c r="E18" s="28">
        <f>FS!E22</f>
        <v>0</v>
      </c>
      <c r="F18" s="29">
        <f>FS!F22</f>
        <v>3</v>
      </c>
      <c r="G18" s="28">
        <f>FS!G22</f>
        <v>3</v>
      </c>
      <c r="H18" s="28">
        <f>FS!H22</f>
        <v>3</v>
      </c>
      <c r="I18" s="28">
        <f>FS!I22</f>
        <v>3</v>
      </c>
      <c r="J18" s="28">
        <f>FS!J22</f>
        <v>3</v>
      </c>
      <c r="K18" s="29">
        <f>FS!K22</f>
        <v>3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" x14ac:dyDescent="0.3">
      <c r="A19" s="1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I1:K2">
    <cfRule type="notContainsBlanks" dxfId="0" priority="1">
      <formula>LEN(TRIM(I1))&gt;0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78"/>
  <sheetViews>
    <sheetView workbookViewId="0">
      <pane xSplit="1" ySplit="1" topLeftCell="E68" activePane="bottomRight" state="frozen"/>
      <selection pane="topRight" activeCell="B1" sqref="B1"/>
      <selection pane="bottomLeft" activeCell="A3" sqref="A3"/>
      <selection pane="bottomRight"/>
    </sheetView>
  </sheetViews>
  <sheetFormatPr defaultColWidth="12.54296875" defaultRowHeight="15.75" customHeight="1" x14ac:dyDescent="0.25"/>
  <cols>
    <col min="1" max="1" width="61.1796875" bestFit="1" customWidth="1"/>
    <col min="2" max="6" width="12.453125" bestFit="1" customWidth="1"/>
    <col min="7" max="7" width="16.54296875" bestFit="1" customWidth="1"/>
    <col min="8" max="11" width="18.453125" bestFit="1" customWidth="1"/>
    <col min="12" max="25" width="12.54296875" customWidth="1"/>
  </cols>
  <sheetData>
    <row r="1" spans="1:25" ht="15.75" customHeight="1" x14ac:dyDescent="0.3">
      <c r="A1" s="30"/>
      <c r="B1" s="31" t="s">
        <v>15</v>
      </c>
      <c r="C1" s="31" t="s">
        <v>16</v>
      </c>
      <c r="D1" s="31" t="s">
        <v>17</v>
      </c>
      <c r="E1" s="31" t="s">
        <v>18</v>
      </c>
      <c r="F1" s="32" t="s">
        <v>19</v>
      </c>
      <c r="G1" s="31" t="s">
        <v>20</v>
      </c>
      <c r="H1" s="31" t="s">
        <v>21</v>
      </c>
      <c r="I1" s="31" t="s">
        <v>22</v>
      </c>
      <c r="J1" s="31" t="s">
        <v>23</v>
      </c>
      <c r="K1" s="31" t="s">
        <v>24</v>
      </c>
      <c r="L1" s="30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" x14ac:dyDescent="0.3">
      <c r="A2" s="19"/>
      <c r="B2" s="19"/>
      <c r="C2" s="19"/>
      <c r="D2" s="19"/>
      <c r="E2" s="19"/>
      <c r="F2" s="33"/>
      <c r="G2" s="19"/>
      <c r="H2" s="19"/>
      <c r="I2" s="19"/>
      <c r="J2" s="19"/>
      <c r="K2" s="19"/>
      <c r="L2" s="1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3">
      <c r="A3" s="34" t="s">
        <v>33</v>
      </c>
      <c r="B3" s="35"/>
      <c r="C3" s="35"/>
      <c r="D3" s="35"/>
      <c r="E3" s="35"/>
      <c r="F3" s="36"/>
      <c r="G3" s="35"/>
      <c r="H3" s="35"/>
      <c r="I3" s="35"/>
      <c r="J3" s="35"/>
      <c r="K3" s="36"/>
      <c r="L3" s="1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" x14ac:dyDescent="0.3">
      <c r="A4" s="37"/>
      <c r="B4" s="19"/>
      <c r="C4" s="19"/>
      <c r="D4" s="19"/>
      <c r="E4" s="19"/>
      <c r="F4" s="33"/>
      <c r="G4" s="19"/>
      <c r="H4" s="19"/>
      <c r="I4" s="19"/>
      <c r="J4" s="19"/>
      <c r="K4" s="33"/>
      <c r="L4" s="1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" x14ac:dyDescent="0.3">
      <c r="A5" s="7" t="s">
        <v>34</v>
      </c>
      <c r="B5" s="38">
        <v>5.5542774372940598E-2</v>
      </c>
      <c r="C5" s="38">
        <v>5.8364174975440102E-2</v>
      </c>
      <c r="D5" s="38">
        <v>-9.4000000000000004E-3</v>
      </c>
      <c r="E5" s="38">
        <v>5.74E-2</v>
      </c>
      <c r="F5" s="39">
        <v>5.8999999999999997E-2</v>
      </c>
      <c r="G5" s="40">
        <v>1.4999999999999999E-2</v>
      </c>
      <c r="H5" s="40">
        <v>0.03</v>
      </c>
      <c r="I5" s="40">
        <v>0.04</v>
      </c>
      <c r="J5" s="40">
        <v>0.05</v>
      </c>
      <c r="K5" s="41">
        <f>J5</f>
        <v>0.05</v>
      </c>
      <c r="L5" s="1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" x14ac:dyDescent="0.3">
      <c r="A6" s="7" t="s">
        <v>35</v>
      </c>
      <c r="B6" s="38">
        <v>4.1599999999999998E-2</v>
      </c>
      <c r="C6" s="38">
        <v>4.6800000000000001E-2</v>
      </c>
      <c r="D6" s="38">
        <v>6.8000000000000005E-2</v>
      </c>
      <c r="E6" s="38">
        <v>7.0000000000000007E-2</v>
      </c>
      <c r="F6" s="39">
        <v>0.13750000000000001</v>
      </c>
      <c r="G6" s="40">
        <v>0.23039999999999999</v>
      </c>
      <c r="H6" s="40">
        <v>0.1341</v>
      </c>
      <c r="I6" s="40">
        <v>0.11</v>
      </c>
      <c r="J6" s="40">
        <v>0.08</v>
      </c>
      <c r="K6" s="41">
        <v>0.08</v>
      </c>
      <c r="L6" s="1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" x14ac:dyDescent="0.3">
      <c r="A7" s="7" t="s">
        <v>36</v>
      </c>
      <c r="B7" s="38">
        <v>5.7500000000000002E-2</v>
      </c>
      <c r="C7" s="38">
        <v>5.8999999999999997E-2</v>
      </c>
      <c r="D7" s="38">
        <v>7.0000000000000007E-2</v>
      </c>
      <c r="E7" s="38">
        <v>7.0000000000000007E-2</v>
      </c>
      <c r="F7" s="39">
        <v>0.13750000000000001</v>
      </c>
      <c r="G7" s="40">
        <v>0.18</v>
      </c>
      <c r="H7" s="40">
        <v>0.14000000000000001</v>
      </c>
      <c r="I7" s="40">
        <v>0.1</v>
      </c>
      <c r="J7" s="40">
        <v>0.1</v>
      </c>
      <c r="K7" s="41">
        <v>0.1</v>
      </c>
      <c r="L7" s="1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" x14ac:dyDescent="0.3">
      <c r="A8" s="7" t="s">
        <v>37</v>
      </c>
      <c r="B8" s="38">
        <f t="shared" ref="B8:K8" si="0">B7+1%</f>
        <v>6.7500000000000004E-2</v>
      </c>
      <c r="C8" s="38">
        <f t="shared" si="0"/>
        <v>6.8999999999999992E-2</v>
      </c>
      <c r="D8" s="38">
        <f t="shared" si="0"/>
        <v>0.08</v>
      </c>
      <c r="E8" s="38">
        <f t="shared" si="0"/>
        <v>0.08</v>
      </c>
      <c r="F8" s="39">
        <f t="shared" si="0"/>
        <v>0.14750000000000002</v>
      </c>
      <c r="G8" s="38">
        <f t="shared" si="0"/>
        <v>0.19</v>
      </c>
      <c r="H8" s="38">
        <f t="shared" si="0"/>
        <v>0.15000000000000002</v>
      </c>
      <c r="I8" s="38">
        <f t="shared" si="0"/>
        <v>0.11</v>
      </c>
      <c r="J8" s="38">
        <f t="shared" si="0"/>
        <v>0.11</v>
      </c>
      <c r="K8" s="39">
        <f t="shared" si="0"/>
        <v>0.11</v>
      </c>
      <c r="L8" s="1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" x14ac:dyDescent="0.3">
      <c r="A9" s="7" t="s">
        <v>38</v>
      </c>
      <c r="B9" s="42">
        <v>121.784734297521</v>
      </c>
      <c r="C9" s="42">
        <v>150.35643667953701</v>
      </c>
      <c r="D9" s="42">
        <v>161.85688167938901</v>
      </c>
      <c r="E9" s="42">
        <v>163.048393846154</v>
      </c>
      <c r="F9" s="43">
        <v>204.70034341085301</v>
      </c>
      <c r="G9" s="42">
        <f>225*1/2+270*1/2</f>
        <v>247.5</v>
      </c>
      <c r="H9" s="42">
        <f>G9*(1+H10)</f>
        <v>284.625</v>
      </c>
      <c r="I9" s="42">
        <f>H9*(1+I10)</f>
        <v>327.31874999999997</v>
      </c>
      <c r="J9" s="42">
        <f>I9*(1+J10)</f>
        <v>376.41656249999994</v>
      </c>
      <c r="K9" s="43">
        <f>J9*(1+K10)</f>
        <v>432.87904687499991</v>
      </c>
      <c r="L9" s="1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" x14ac:dyDescent="0.3">
      <c r="A10" s="7" t="s">
        <v>39</v>
      </c>
      <c r="B10" s="19"/>
      <c r="C10" s="38">
        <f>C9/B9-1</f>
        <v>0.23460824172112682</v>
      </c>
      <c r="D10" s="38">
        <f>D9/C9-1</f>
        <v>7.6487879427227456E-2</v>
      </c>
      <c r="E10" s="38">
        <f>E9/D9-1</f>
        <v>7.3615168808527365E-3</v>
      </c>
      <c r="F10" s="39">
        <f>F9/E9-1</f>
        <v>0.25545758889229009</v>
      </c>
      <c r="G10" s="40">
        <f>G9/F9-1</f>
        <v>0.2090844396056728</v>
      </c>
      <c r="H10" s="44">
        <v>0.15</v>
      </c>
      <c r="I10" s="40">
        <f t="shared" ref="I10:K13" si="1">H10</f>
        <v>0.15</v>
      </c>
      <c r="J10" s="40">
        <f t="shared" si="1"/>
        <v>0.15</v>
      </c>
      <c r="K10" s="41">
        <f t="shared" si="1"/>
        <v>0.15</v>
      </c>
      <c r="L10" s="1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" x14ac:dyDescent="0.3">
      <c r="A11" s="7" t="s">
        <v>40</v>
      </c>
      <c r="B11" s="38">
        <v>0.28999999999999998</v>
      </c>
      <c r="C11" s="38">
        <v>0.28999999999999998</v>
      </c>
      <c r="D11" s="38">
        <v>0.28999999999999998</v>
      </c>
      <c r="E11" s="38">
        <v>0.28999999999999998</v>
      </c>
      <c r="F11" s="39">
        <v>0.28999999999999998</v>
      </c>
      <c r="G11" s="38">
        <f t="shared" ref="G11:H13" si="2">F11</f>
        <v>0.28999999999999998</v>
      </c>
      <c r="H11" s="38">
        <f t="shared" si="2"/>
        <v>0.28999999999999998</v>
      </c>
      <c r="I11" s="38">
        <f t="shared" si="1"/>
        <v>0.28999999999999998</v>
      </c>
      <c r="J11" s="38">
        <f t="shared" si="1"/>
        <v>0.28999999999999998</v>
      </c>
      <c r="K11" s="39">
        <f t="shared" si="1"/>
        <v>0.28999999999999998</v>
      </c>
      <c r="L11" s="1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" x14ac:dyDescent="0.3">
      <c r="A12" s="7" t="s">
        <v>41</v>
      </c>
      <c r="B12" s="38">
        <v>0.15</v>
      </c>
      <c r="C12" s="38">
        <v>0.15</v>
      </c>
      <c r="D12" s="38">
        <v>0.15</v>
      </c>
      <c r="E12" s="38">
        <v>0.15</v>
      </c>
      <c r="F12" s="39">
        <v>0.15</v>
      </c>
      <c r="G12" s="38">
        <f t="shared" si="2"/>
        <v>0.15</v>
      </c>
      <c r="H12" s="38">
        <f t="shared" si="2"/>
        <v>0.15</v>
      </c>
      <c r="I12" s="38">
        <f t="shared" si="1"/>
        <v>0.15</v>
      </c>
      <c r="J12" s="38">
        <f t="shared" si="1"/>
        <v>0.15</v>
      </c>
      <c r="K12" s="39">
        <f t="shared" si="1"/>
        <v>0.15</v>
      </c>
      <c r="L12" s="1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" x14ac:dyDescent="0.3">
      <c r="A13" s="7" t="s">
        <v>42</v>
      </c>
      <c r="B13" s="38">
        <v>0.15</v>
      </c>
      <c r="C13" s="38">
        <v>0.15</v>
      </c>
      <c r="D13" s="38">
        <v>0.15</v>
      </c>
      <c r="E13" s="38">
        <v>0.15</v>
      </c>
      <c r="F13" s="39">
        <v>0.15</v>
      </c>
      <c r="G13" s="38">
        <f t="shared" si="2"/>
        <v>0.15</v>
      </c>
      <c r="H13" s="38">
        <f t="shared" si="2"/>
        <v>0.15</v>
      </c>
      <c r="I13" s="38">
        <f t="shared" si="1"/>
        <v>0.15</v>
      </c>
      <c r="J13" s="38">
        <f t="shared" si="1"/>
        <v>0.15</v>
      </c>
      <c r="K13" s="39">
        <f t="shared" si="1"/>
        <v>0.15</v>
      </c>
      <c r="L13" s="1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" x14ac:dyDescent="0.3">
      <c r="A14" s="45" t="s">
        <v>43</v>
      </c>
      <c r="B14" s="45">
        <v>71.69</v>
      </c>
      <c r="C14" s="45">
        <v>64.16</v>
      </c>
      <c r="D14" s="45">
        <v>43.21</v>
      </c>
      <c r="E14" s="45">
        <v>70.95</v>
      </c>
      <c r="F14" s="46">
        <v>98.94</v>
      </c>
      <c r="G14" s="47">
        <v>100.9</v>
      </c>
      <c r="H14" s="45">
        <v>102.9</v>
      </c>
      <c r="I14" s="45">
        <v>105</v>
      </c>
      <c r="J14" s="45">
        <v>107.1</v>
      </c>
      <c r="K14" s="46">
        <v>109.2</v>
      </c>
      <c r="L14" s="1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" x14ac:dyDescent="0.3">
      <c r="A15" s="45"/>
      <c r="B15" s="45"/>
      <c r="C15" s="38">
        <f>C14/B14-1</f>
        <v>-0.10503556981447904</v>
      </c>
      <c r="D15" s="38">
        <f>D14/C14-1</f>
        <v>-0.32652743142144636</v>
      </c>
      <c r="E15" s="38">
        <f>E14/D14-1</f>
        <v>0.64198102291136316</v>
      </c>
      <c r="F15" s="39">
        <f>F14/E14-1</f>
        <v>0.39450317124735723</v>
      </c>
      <c r="G15" s="40">
        <v>0.02</v>
      </c>
      <c r="H15" s="40">
        <v>0.02</v>
      </c>
      <c r="I15" s="40">
        <v>0.02</v>
      </c>
      <c r="J15" s="40">
        <v>0.02</v>
      </c>
      <c r="K15" s="41">
        <v>0.02</v>
      </c>
      <c r="L15" s="45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</row>
    <row r="16" spans="1:25" ht="14" x14ac:dyDescent="0.3">
      <c r="A16" s="45" t="s">
        <v>44</v>
      </c>
      <c r="B16" s="49">
        <f t="shared" ref="B16:K16" si="3">B14*B9*158.9</f>
        <v>1387315.7939243168</v>
      </c>
      <c r="C16" s="49">
        <f t="shared" si="3"/>
        <v>1532887.48050236</v>
      </c>
      <c r="D16" s="49">
        <f t="shared" si="3"/>
        <v>1111320.5177355208</v>
      </c>
      <c r="E16" s="49">
        <f t="shared" si="3"/>
        <v>1838200.2550438172</v>
      </c>
      <c r="F16" s="50">
        <f t="shared" si="3"/>
        <v>3218209.9591563907</v>
      </c>
      <c r="G16" s="49">
        <f t="shared" si="3"/>
        <v>3968169.9750000001</v>
      </c>
      <c r="H16" s="49">
        <f t="shared" si="3"/>
        <v>4653849.2962500006</v>
      </c>
      <c r="I16" s="49">
        <f t="shared" si="3"/>
        <v>5461149.6843750002</v>
      </c>
      <c r="J16" s="49">
        <f t="shared" si="3"/>
        <v>6405928.5797718735</v>
      </c>
      <c r="K16" s="50">
        <f t="shared" si="3"/>
        <v>7511265.2758893743</v>
      </c>
      <c r="L16" s="1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" x14ac:dyDescent="0.3">
      <c r="A17" s="51" t="s">
        <v>45</v>
      </c>
      <c r="B17" s="52"/>
      <c r="C17" s="52">
        <f t="shared" ref="C17:K17" si="4">C16/B16-1</f>
        <v>0.10493046155429608</v>
      </c>
      <c r="D17" s="52">
        <f t="shared" si="4"/>
        <v>-0.27501494279846472</v>
      </c>
      <c r="E17" s="52">
        <f t="shared" si="4"/>
        <v>0.6540684939295649</v>
      </c>
      <c r="F17" s="53">
        <f t="shared" si="4"/>
        <v>0.75073958907685934</v>
      </c>
      <c r="G17" s="52">
        <f t="shared" si="4"/>
        <v>0.23303638524572867</v>
      </c>
      <c r="H17" s="52">
        <f t="shared" si="4"/>
        <v>0.17279484638255704</v>
      </c>
      <c r="I17" s="52">
        <f t="shared" si="4"/>
        <v>0.1734693877551019</v>
      </c>
      <c r="J17" s="52">
        <f t="shared" si="4"/>
        <v>0.1729999999999996</v>
      </c>
      <c r="K17" s="53">
        <f t="shared" si="4"/>
        <v>0.17254901960784319</v>
      </c>
      <c r="L17" s="45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4" x14ac:dyDescent="0.3">
      <c r="A18" s="19"/>
      <c r="B18" s="19"/>
      <c r="C18" s="19"/>
      <c r="D18" s="19"/>
      <c r="E18" s="1"/>
      <c r="F18" s="19"/>
      <c r="G18" s="19"/>
      <c r="H18" s="19"/>
      <c r="I18" s="19"/>
      <c r="J18" s="19"/>
      <c r="K18" s="19"/>
      <c r="L18" s="1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" x14ac:dyDescent="0.3">
      <c r="A19" s="19"/>
      <c r="B19" s="19"/>
      <c r="C19" s="19"/>
      <c r="D19" s="19"/>
      <c r="E19" s="1"/>
      <c r="F19" s="19"/>
      <c r="G19" s="19"/>
      <c r="H19" s="19"/>
      <c r="I19" s="19"/>
      <c r="J19" s="19"/>
      <c r="K19" s="19"/>
      <c r="L19" s="1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54" t="s">
        <v>46</v>
      </c>
      <c r="B20" s="35"/>
      <c r="C20" s="35"/>
      <c r="D20" s="35"/>
      <c r="E20" s="55"/>
      <c r="F20" s="36"/>
      <c r="G20" s="35"/>
      <c r="H20" s="35"/>
      <c r="I20" s="35"/>
      <c r="J20" s="35"/>
      <c r="K20" s="36"/>
      <c r="L20" s="1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" x14ac:dyDescent="0.3">
      <c r="A21" s="45" t="s">
        <v>47</v>
      </c>
      <c r="B21" s="49">
        <v>7137778</v>
      </c>
      <c r="C21" s="49">
        <v>3020000</v>
      </c>
      <c r="D21" s="49">
        <v>1925935.4251238899</v>
      </c>
      <c r="E21" s="49">
        <v>2657790.8866709699</v>
      </c>
      <c r="F21" s="50">
        <v>2604635.0689375498</v>
      </c>
      <c r="G21" s="49">
        <f t="shared" ref="G21:K28" si="5">F21*(1+G32)</f>
        <v>2630681.4196269251</v>
      </c>
      <c r="H21" s="49">
        <f t="shared" si="5"/>
        <v>2656988.2338231946</v>
      </c>
      <c r="I21" s="49">
        <f t="shared" si="5"/>
        <v>2683558.1161614265</v>
      </c>
      <c r="J21" s="49">
        <f t="shared" si="5"/>
        <v>2710393.697323041</v>
      </c>
      <c r="K21" s="50">
        <f t="shared" si="5"/>
        <v>2737497.6342962715</v>
      </c>
      <c r="L21" s="1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" x14ac:dyDescent="0.3">
      <c r="A22" s="45" t="s">
        <v>48</v>
      </c>
      <c r="B22" s="49">
        <v>8949204</v>
      </c>
      <c r="C22" s="49">
        <v>7210000</v>
      </c>
      <c r="D22" s="49">
        <v>6546393.7088302402</v>
      </c>
      <c r="E22" s="49">
        <v>7397424.8909781696</v>
      </c>
      <c r="F22" s="50">
        <v>7767296.1355270799</v>
      </c>
      <c r="G22" s="49">
        <f t="shared" si="5"/>
        <v>7883805.5775599852</v>
      </c>
      <c r="H22" s="49">
        <f t="shared" si="5"/>
        <v>8120319.7448867848</v>
      </c>
      <c r="I22" s="49">
        <f t="shared" si="5"/>
        <v>8445132.5346822571</v>
      </c>
      <c r="J22" s="49">
        <f t="shared" si="5"/>
        <v>8867389.1614163704</v>
      </c>
      <c r="K22" s="50">
        <f t="shared" si="5"/>
        <v>9310758.6194871888</v>
      </c>
      <c r="L22" s="1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" x14ac:dyDescent="0.3">
      <c r="A23" s="1" t="s">
        <v>49</v>
      </c>
      <c r="B23" s="49">
        <v>7341321</v>
      </c>
      <c r="C23" s="49">
        <v>7374000</v>
      </c>
      <c r="D23" s="49">
        <v>7315575.9309626399</v>
      </c>
      <c r="E23" s="49">
        <v>7827666.2461300297</v>
      </c>
      <c r="F23" s="50">
        <v>8453879.5458204299</v>
      </c>
      <c r="G23" s="49">
        <f t="shared" si="5"/>
        <v>8580687.7390077356</v>
      </c>
      <c r="H23" s="49">
        <f t="shared" si="5"/>
        <v>8838108.3711779676</v>
      </c>
      <c r="I23" s="49">
        <f t="shared" si="5"/>
        <v>9191632.7060250863</v>
      </c>
      <c r="J23" s="49">
        <f t="shared" si="5"/>
        <v>9651214.341326341</v>
      </c>
      <c r="K23" s="50">
        <f t="shared" si="5"/>
        <v>10133775.058392659</v>
      </c>
      <c r="L23" s="1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" x14ac:dyDescent="0.3">
      <c r="A24" s="45" t="s">
        <v>50</v>
      </c>
      <c r="B24" s="49">
        <v>745659</v>
      </c>
      <c r="C24" s="49">
        <v>530685</v>
      </c>
      <c r="D24" s="49">
        <v>417047.84015499498</v>
      </c>
      <c r="E24" s="49">
        <v>375343.05613949598</v>
      </c>
      <c r="F24" s="50">
        <v>394110.20894647099</v>
      </c>
      <c r="G24" s="49">
        <f t="shared" si="5"/>
        <v>400021.86208066804</v>
      </c>
      <c r="H24" s="49">
        <f t="shared" si="5"/>
        <v>412022.51794308808</v>
      </c>
      <c r="I24" s="49">
        <f t="shared" si="5"/>
        <v>428503.41866081161</v>
      </c>
      <c r="J24" s="49">
        <f t="shared" si="5"/>
        <v>449928.58959385223</v>
      </c>
      <c r="K24" s="50">
        <f t="shared" si="5"/>
        <v>472425.01907354489</v>
      </c>
      <c r="L24" s="1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" x14ac:dyDescent="0.3">
      <c r="A25" s="45" t="s">
        <v>51</v>
      </c>
      <c r="B25" s="49">
        <v>109461</v>
      </c>
      <c r="C25" s="49">
        <v>93871</v>
      </c>
      <c r="D25" s="49">
        <v>84495.800693787402</v>
      </c>
      <c r="E25" s="49">
        <v>76046.220624408699</v>
      </c>
      <c r="F25" s="50">
        <v>79848.531655629107</v>
      </c>
      <c r="G25" s="49">
        <f t="shared" si="5"/>
        <v>81046.259630463537</v>
      </c>
      <c r="H25" s="49">
        <f t="shared" si="5"/>
        <v>83477.647419377448</v>
      </c>
      <c r="I25" s="49">
        <f t="shared" si="5"/>
        <v>86816.75331615255</v>
      </c>
      <c r="J25" s="49">
        <f t="shared" si="5"/>
        <v>91157.59098196018</v>
      </c>
      <c r="K25" s="50">
        <f t="shared" si="5"/>
        <v>95715.470531058192</v>
      </c>
      <c r="L25" s="1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" x14ac:dyDescent="0.3">
      <c r="A26" s="45" t="s">
        <v>52</v>
      </c>
      <c r="B26" s="49">
        <v>17217</v>
      </c>
      <c r="C26" s="49">
        <v>17137</v>
      </c>
      <c r="D26" s="49">
        <v>14448.9576781369</v>
      </c>
      <c r="E26" s="49">
        <v>13004.0619103233</v>
      </c>
      <c r="F26" s="50">
        <v>13654.265005839399</v>
      </c>
      <c r="G26" s="49">
        <f t="shared" si="5"/>
        <v>13859.078980926988</v>
      </c>
      <c r="H26" s="49">
        <f t="shared" si="5"/>
        <v>14274.851350354798</v>
      </c>
      <c r="I26" s="49">
        <f t="shared" si="5"/>
        <v>14845.845404368991</v>
      </c>
      <c r="J26" s="49">
        <f t="shared" si="5"/>
        <v>15588.13767458744</v>
      </c>
      <c r="K26" s="50">
        <f t="shared" si="5"/>
        <v>16367.544558316813</v>
      </c>
      <c r="L26" s="1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" x14ac:dyDescent="0.3">
      <c r="A27" s="45" t="s">
        <v>53</v>
      </c>
      <c r="B27" s="49">
        <v>126859</v>
      </c>
      <c r="C27" s="49">
        <v>78241</v>
      </c>
      <c r="D27" s="49">
        <v>57569.277954992598</v>
      </c>
      <c r="E27" s="49">
        <v>57569.277954992598</v>
      </c>
      <c r="F27" s="50">
        <v>60447.741852742198</v>
      </c>
      <c r="G27" s="49">
        <f t="shared" si="5"/>
        <v>61354.457980533327</v>
      </c>
      <c r="H27" s="49">
        <f t="shared" si="5"/>
        <v>63195.091719949327</v>
      </c>
      <c r="I27" s="49">
        <f t="shared" si="5"/>
        <v>65722.895388747304</v>
      </c>
      <c r="J27" s="49">
        <f t="shared" si="5"/>
        <v>69009.040158184667</v>
      </c>
      <c r="K27" s="50">
        <f t="shared" si="5"/>
        <v>72459.4921660939</v>
      </c>
      <c r="L27" s="1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" x14ac:dyDescent="0.3">
      <c r="A28" s="45" t="s">
        <v>54</v>
      </c>
      <c r="B28" s="49">
        <v>145329</v>
      </c>
      <c r="C28" s="49">
        <v>148000</v>
      </c>
      <c r="D28" s="49">
        <v>100000</v>
      </c>
      <c r="E28" s="49">
        <v>130000</v>
      </c>
      <c r="F28" s="50">
        <v>156000</v>
      </c>
      <c r="G28" s="49">
        <f t="shared" si="5"/>
        <v>158339.99999999997</v>
      </c>
      <c r="H28" s="49">
        <f t="shared" si="5"/>
        <v>163090.19999999998</v>
      </c>
      <c r="I28" s="49">
        <f t="shared" si="5"/>
        <v>169613.80799999999</v>
      </c>
      <c r="J28" s="49">
        <f t="shared" si="5"/>
        <v>178094.49840000001</v>
      </c>
      <c r="K28" s="50">
        <f t="shared" si="5"/>
        <v>186999.22332000002</v>
      </c>
      <c r="L28" s="1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" x14ac:dyDescent="0.3">
      <c r="A29" s="56"/>
      <c r="B29" s="57">
        <f t="shared" ref="B29:K29" si="6">SUM(B21:B28)</f>
        <v>24572828</v>
      </c>
      <c r="C29" s="57">
        <f t="shared" si="6"/>
        <v>18471934</v>
      </c>
      <c r="D29" s="57">
        <f t="shared" si="6"/>
        <v>16461466.941398682</v>
      </c>
      <c r="E29" s="57">
        <f t="shared" si="6"/>
        <v>18534844.640408389</v>
      </c>
      <c r="F29" s="58">
        <f t="shared" si="6"/>
        <v>19529871.497745737</v>
      </c>
      <c r="G29" s="57">
        <f t="shared" si="6"/>
        <v>19809796.394867238</v>
      </c>
      <c r="H29" s="57">
        <f t="shared" si="6"/>
        <v>20351476.658320714</v>
      </c>
      <c r="I29" s="57">
        <f t="shared" si="6"/>
        <v>21085826.07763885</v>
      </c>
      <c r="J29" s="57">
        <f t="shared" si="6"/>
        <v>22032775.056874342</v>
      </c>
      <c r="K29" s="58">
        <f t="shared" si="6"/>
        <v>23025998.061825134</v>
      </c>
      <c r="L29" s="5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" x14ac:dyDescent="0.3">
      <c r="A30" s="19"/>
      <c r="B30" s="19"/>
      <c r="C30" s="19"/>
      <c r="D30" s="19"/>
      <c r="E30" s="19"/>
      <c r="F30" s="60"/>
      <c r="G30" s="19"/>
      <c r="H30" s="19"/>
      <c r="I30" s="19"/>
      <c r="J30" s="19"/>
      <c r="K30" s="19"/>
      <c r="L30" s="1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" x14ac:dyDescent="0.3">
      <c r="A31" s="34" t="s">
        <v>55</v>
      </c>
      <c r="B31" s="35"/>
      <c r="C31" s="35"/>
      <c r="D31" s="35"/>
      <c r="E31" s="35"/>
      <c r="F31" s="33"/>
      <c r="G31" s="35"/>
      <c r="H31" s="35"/>
      <c r="I31" s="35"/>
      <c r="J31" s="35"/>
      <c r="K31" s="36"/>
      <c r="L31" s="1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" x14ac:dyDescent="0.3">
      <c r="A32" s="7" t="s">
        <v>47</v>
      </c>
      <c r="B32" s="19"/>
      <c r="C32" s="38">
        <f t="shared" ref="C32:F39" si="7">C21/B21-1</f>
        <v>-0.57689914144149623</v>
      </c>
      <c r="D32" s="38">
        <f t="shared" si="7"/>
        <v>-0.36227303803844702</v>
      </c>
      <c r="E32" s="38">
        <f t="shared" si="7"/>
        <v>0.380000000000001</v>
      </c>
      <c r="F32" s="39">
        <f t="shared" si="7"/>
        <v>-2.000000000000024E-2</v>
      </c>
      <c r="G32" s="61">
        <v>0.01</v>
      </c>
      <c r="H32" s="62">
        <f>G32</f>
        <v>0.01</v>
      </c>
      <c r="I32" s="62">
        <f>H32</f>
        <v>0.01</v>
      </c>
      <c r="J32" s="62">
        <f>I32</f>
        <v>0.01</v>
      </c>
      <c r="K32" s="63">
        <f>J32</f>
        <v>0.01</v>
      </c>
      <c r="L32" s="1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" x14ac:dyDescent="0.3">
      <c r="A33" s="7" t="s">
        <v>48</v>
      </c>
      <c r="B33" s="19"/>
      <c r="C33" s="38">
        <f t="shared" si="7"/>
        <v>-0.19434175374703722</v>
      </c>
      <c r="D33" s="38">
        <f t="shared" si="7"/>
        <v>-9.2039707513142832E-2</v>
      </c>
      <c r="E33" s="38">
        <f t="shared" si="7"/>
        <v>0.12999999999999967</v>
      </c>
      <c r="F33" s="39">
        <f t="shared" si="7"/>
        <v>5.0000000000000266E-2</v>
      </c>
      <c r="G33" s="62">
        <f>G5</f>
        <v>1.4999999999999999E-2</v>
      </c>
      <c r="H33" s="62">
        <f>H5</f>
        <v>0.03</v>
      </c>
      <c r="I33" s="62">
        <f>I5</f>
        <v>0.04</v>
      </c>
      <c r="J33" s="62">
        <f>J5</f>
        <v>0.05</v>
      </c>
      <c r="K33" s="63">
        <f>K5</f>
        <v>0.05</v>
      </c>
      <c r="L33" s="1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" x14ac:dyDescent="0.3">
      <c r="A34" s="1" t="s">
        <v>49</v>
      </c>
      <c r="B34" s="19"/>
      <c r="C34" s="38">
        <f t="shared" si="7"/>
        <v>4.4513787096354118E-3</v>
      </c>
      <c r="D34" s="38">
        <f t="shared" si="7"/>
        <v>-7.9229819687225422E-3</v>
      </c>
      <c r="E34" s="38">
        <f t="shared" si="7"/>
        <v>7.0000000000000728E-2</v>
      </c>
      <c r="F34" s="39">
        <f t="shared" si="7"/>
        <v>7.9999999999999627E-2</v>
      </c>
      <c r="G34" s="62">
        <f t="shared" ref="G34:K39" si="8">G33</f>
        <v>1.4999999999999999E-2</v>
      </c>
      <c r="H34" s="62">
        <f t="shared" si="8"/>
        <v>0.03</v>
      </c>
      <c r="I34" s="62">
        <f t="shared" si="8"/>
        <v>0.04</v>
      </c>
      <c r="J34" s="62">
        <f t="shared" si="8"/>
        <v>0.05</v>
      </c>
      <c r="K34" s="63">
        <f t="shared" si="8"/>
        <v>0.05</v>
      </c>
      <c r="L34" s="1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" x14ac:dyDescent="0.3">
      <c r="A35" s="7" t="s">
        <v>50</v>
      </c>
      <c r="B35" s="19"/>
      <c r="C35" s="38">
        <f t="shared" si="7"/>
        <v>-0.28830068436108192</v>
      </c>
      <c r="D35" s="38">
        <f t="shared" si="7"/>
        <v>-0.21413297878214954</v>
      </c>
      <c r="E35" s="38">
        <f t="shared" si="7"/>
        <v>-9.9999999999998757E-2</v>
      </c>
      <c r="F35" s="39">
        <f t="shared" si="7"/>
        <v>5.0000000000000488E-2</v>
      </c>
      <c r="G35" s="62">
        <f t="shared" si="8"/>
        <v>1.4999999999999999E-2</v>
      </c>
      <c r="H35" s="62">
        <f t="shared" si="8"/>
        <v>0.03</v>
      </c>
      <c r="I35" s="62">
        <f t="shared" si="8"/>
        <v>0.04</v>
      </c>
      <c r="J35" s="62">
        <f t="shared" si="8"/>
        <v>0.05</v>
      </c>
      <c r="K35" s="63">
        <f t="shared" si="8"/>
        <v>0.05</v>
      </c>
      <c r="L35" s="1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" x14ac:dyDescent="0.3">
      <c r="A36" s="7" t="s">
        <v>51</v>
      </c>
      <c r="B36" s="19"/>
      <c r="C36" s="38">
        <f t="shared" si="7"/>
        <v>-0.14242515599163175</v>
      </c>
      <c r="D36" s="38">
        <f t="shared" si="7"/>
        <v>-9.987322289325351E-2</v>
      </c>
      <c r="E36" s="38">
        <f t="shared" si="7"/>
        <v>-9.9999999999999534E-2</v>
      </c>
      <c r="F36" s="39">
        <f t="shared" si="7"/>
        <v>4.99999999999996E-2</v>
      </c>
      <c r="G36" s="62">
        <f t="shared" si="8"/>
        <v>1.4999999999999999E-2</v>
      </c>
      <c r="H36" s="62">
        <f t="shared" si="8"/>
        <v>0.03</v>
      </c>
      <c r="I36" s="62">
        <f t="shared" si="8"/>
        <v>0.04</v>
      </c>
      <c r="J36" s="62">
        <f t="shared" si="8"/>
        <v>0.05</v>
      </c>
      <c r="K36" s="63">
        <f t="shared" si="8"/>
        <v>0.05</v>
      </c>
      <c r="L36" s="1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" x14ac:dyDescent="0.3">
      <c r="A37" s="7" t="s">
        <v>52</v>
      </c>
      <c r="B37" s="19"/>
      <c r="C37" s="38">
        <f t="shared" si="7"/>
        <v>-4.6465702503339923E-3</v>
      </c>
      <c r="D37" s="38">
        <f t="shared" si="7"/>
        <v>-0.15685606126294571</v>
      </c>
      <c r="E37" s="38">
        <f t="shared" si="7"/>
        <v>-9.9999999999993761E-2</v>
      </c>
      <c r="F37" s="39">
        <f t="shared" si="7"/>
        <v>4.9999999999994937E-2</v>
      </c>
      <c r="G37" s="62">
        <f t="shared" si="8"/>
        <v>1.4999999999999999E-2</v>
      </c>
      <c r="H37" s="62">
        <f t="shared" si="8"/>
        <v>0.03</v>
      </c>
      <c r="I37" s="62">
        <f t="shared" si="8"/>
        <v>0.04</v>
      </c>
      <c r="J37" s="62">
        <f t="shared" si="8"/>
        <v>0.05</v>
      </c>
      <c r="K37" s="63">
        <f t="shared" si="8"/>
        <v>0.05</v>
      </c>
      <c r="L37" s="1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" x14ac:dyDescent="0.3">
      <c r="A38" s="7" t="s">
        <v>53</v>
      </c>
      <c r="B38" s="19"/>
      <c r="C38" s="38">
        <f t="shared" si="7"/>
        <v>-0.38324438944024464</v>
      </c>
      <c r="D38" s="38">
        <f t="shared" si="7"/>
        <v>-0.26420574947926789</v>
      </c>
      <c r="E38" s="38">
        <f t="shared" si="7"/>
        <v>0</v>
      </c>
      <c r="F38" s="39">
        <f t="shared" si="7"/>
        <v>4.9999999999999378E-2</v>
      </c>
      <c r="G38" s="62">
        <f t="shared" si="8"/>
        <v>1.4999999999999999E-2</v>
      </c>
      <c r="H38" s="62">
        <f t="shared" si="8"/>
        <v>0.03</v>
      </c>
      <c r="I38" s="62">
        <f t="shared" si="8"/>
        <v>0.04</v>
      </c>
      <c r="J38" s="62">
        <f t="shared" si="8"/>
        <v>0.05</v>
      </c>
      <c r="K38" s="63">
        <f t="shared" si="8"/>
        <v>0.05</v>
      </c>
      <c r="L38" s="1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" x14ac:dyDescent="0.3">
      <c r="A39" s="15" t="s">
        <v>54</v>
      </c>
      <c r="B39" s="60"/>
      <c r="C39" s="52">
        <f t="shared" si="7"/>
        <v>1.8378988364331938E-2</v>
      </c>
      <c r="D39" s="52">
        <f t="shared" si="7"/>
        <v>-0.32432432432432434</v>
      </c>
      <c r="E39" s="52">
        <f t="shared" si="7"/>
        <v>0.30000000000000004</v>
      </c>
      <c r="F39" s="53">
        <f t="shared" si="7"/>
        <v>0.19999999999999996</v>
      </c>
      <c r="G39" s="64">
        <f t="shared" si="8"/>
        <v>1.4999999999999999E-2</v>
      </c>
      <c r="H39" s="64">
        <f t="shared" si="8"/>
        <v>0.03</v>
      </c>
      <c r="I39" s="64">
        <f t="shared" si="8"/>
        <v>0.04</v>
      </c>
      <c r="J39" s="64">
        <f t="shared" si="8"/>
        <v>0.05</v>
      </c>
      <c r="K39" s="65">
        <f t="shared" si="8"/>
        <v>0.05</v>
      </c>
      <c r="L39" s="1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" x14ac:dyDescent="0.3">
      <c r="A40" s="1"/>
      <c r="B40" s="1"/>
      <c r="C40" s="1"/>
      <c r="D40" s="1"/>
      <c r="E40" s="1"/>
      <c r="F40" s="1"/>
      <c r="G40" s="1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" x14ac:dyDescent="0.3">
      <c r="A41" s="66" t="s">
        <v>56</v>
      </c>
      <c r="B41" s="55"/>
      <c r="C41" s="55"/>
      <c r="D41" s="55"/>
      <c r="E41" s="55"/>
      <c r="F41" s="67"/>
      <c r="G41" s="1"/>
      <c r="H41" s="55"/>
      <c r="I41" s="55"/>
      <c r="J41" s="55"/>
      <c r="K41" s="67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" x14ac:dyDescent="0.3">
      <c r="A42" s="68" t="s">
        <v>47</v>
      </c>
      <c r="B42" s="1"/>
      <c r="C42" s="1"/>
      <c r="D42" s="1"/>
      <c r="E42" s="1"/>
      <c r="F42" s="69"/>
      <c r="G42" s="70">
        <v>0</v>
      </c>
      <c r="H42" s="70">
        <f>G42</f>
        <v>0</v>
      </c>
      <c r="I42" s="70">
        <f>H42</f>
        <v>0</v>
      </c>
      <c r="J42" s="70">
        <f>I42</f>
        <v>0</v>
      </c>
      <c r="K42" s="71">
        <f>J42</f>
        <v>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" x14ac:dyDescent="0.3">
      <c r="A43" s="68" t="s">
        <v>48</v>
      </c>
      <c r="B43" s="1"/>
      <c r="C43" s="1"/>
      <c r="D43" s="1"/>
      <c r="E43" s="1"/>
      <c r="F43" s="69"/>
      <c r="G43" s="70">
        <v>0.08</v>
      </c>
      <c r="H43" s="70">
        <v>0.08</v>
      </c>
      <c r="I43" s="70">
        <v>0.08</v>
      </c>
      <c r="J43" s="70">
        <v>0.08</v>
      </c>
      <c r="K43" s="71">
        <v>0.08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" x14ac:dyDescent="0.3">
      <c r="A44" s="72" t="s">
        <v>57</v>
      </c>
      <c r="B44" s="17"/>
      <c r="C44" s="17"/>
      <c r="D44" s="17"/>
      <c r="E44" s="17"/>
      <c r="F44" s="69"/>
      <c r="G44" s="73">
        <v>0.11</v>
      </c>
      <c r="H44" s="73">
        <v>0.11</v>
      </c>
      <c r="I44" s="73">
        <v>0.11</v>
      </c>
      <c r="J44" s="73">
        <v>0.11</v>
      </c>
      <c r="K44" s="74">
        <v>0.11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" x14ac:dyDescent="0.3">
      <c r="A45" s="75"/>
      <c r="B45" s="1"/>
      <c r="C45" s="1"/>
      <c r="D45" s="1"/>
      <c r="E45" s="1"/>
      <c r="F45" s="5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" x14ac:dyDescent="0.3">
      <c r="A46" s="66" t="s">
        <v>58</v>
      </c>
      <c r="B46" s="55"/>
      <c r="C46" s="55"/>
      <c r="D46" s="55"/>
      <c r="E46" s="76">
        <f>F46</f>
        <v>1574580.0974956499</v>
      </c>
      <c r="F46" s="77">
        <f>G46</f>
        <v>1574580.0974956499</v>
      </c>
      <c r="G46" s="76">
        <f>SUM(G47:G48)</f>
        <v>1574580.0974956499</v>
      </c>
      <c r="H46" s="76">
        <f>SUM(H47:H48)</f>
        <v>1621817.5004205192</v>
      </c>
      <c r="I46" s="76">
        <f>SUM(I47:I48)</f>
        <v>1686690.20043734</v>
      </c>
      <c r="J46" s="76">
        <f>SUM(J47:J48)</f>
        <v>1771024.7104592072</v>
      </c>
      <c r="K46" s="77">
        <f>SUM(K47:K48)</f>
        <v>1859575.9459821677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" x14ac:dyDescent="0.3">
      <c r="A47" s="68" t="s">
        <v>48</v>
      </c>
      <c r="B47" s="1"/>
      <c r="C47" s="1"/>
      <c r="D47" s="1"/>
      <c r="E47" s="1"/>
      <c r="F47" s="69"/>
      <c r="G47" s="78">
        <f t="shared" ref="G47:K48" si="9">G43*G22</f>
        <v>630704.44620479888</v>
      </c>
      <c r="H47" s="78">
        <f t="shared" si="9"/>
        <v>649625.57959094283</v>
      </c>
      <c r="I47" s="78">
        <f t="shared" si="9"/>
        <v>675610.60277458059</v>
      </c>
      <c r="J47" s="78">
        <f t="shared" si="9"/>
        <v>709391.13291330962</v>
      </c>
      <c r="K47" s="79">
        <f t="shared" si="9"/>
        <v>744860.68955897517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" x14ac:dyDescent="0.3">
      <c r="A48" s="72" t="s">
        <v>49</v>
      </c>
      <c r="B48" s="17"/>
      <c r="C48" s="17"/>
      <c r="D48" s="17"/>
      <c r="E48" s="17"/>
      <c r="F48" s="69"/>
      <c r="G48" s="80">
        <f t="shared" si="9"/>
        <v>943875.65129085095</v>
      </c>
      <c r="H48" s="80">
        <f t="shared" si="9"/>
        <v>972191.92082957644</v>
      </c>
      <c r="I48" s="80">
        <f t="shared" si="9"/>
        <v>1011079.5976627595</v>
      </c>
      <c r="J48" s="80">
        <f t="shared" si="9"/>
        <v>1061633.5775458976</v>
      </c>
      <c r="K48" s="81">
        <f t="shared" si="9"/>
        <v>1114715.2564231926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" x14ac:dyDescent="0.3">
      <c r="A49" s="75"/>
      <c r="B49" s="1"/>
      <c r="C49" s="1"/>
      <c r="D49" s="1"/>
      <c r="E49" s="1"/>
      <c r="F49" s="5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" x14ac:dyDescent="0.3">
      <c r="A50" s="66" t="s">
        <v>59</v>
      </c>
      <c r="B50" s="55"/>
      <c r="C50" s="55"/>
      <c r="D50" s="55"/>
      <c r="E50" s="55"/>
      <c r="F50" s="67"/>
      <c r="G50" s="82">
        <f>AVERAGE(G51:G52)</f>
        <v>189</v>
      </c>
      <c r="H50" s="82">
        <f>AVERAGE(H51:H52)</f>
        <v>221.65822596630329</v>
      </c>
      <c r="I50" s="82">
        <f>AVERAGE(I51:I52)</f>
        <v>260.10914271555993</v>
      </c>
      <c r="J50" s="82">
        <f>AVERAGE(J51:J52)</f>
        <v>305.10802440535167</v>
      </c>
      <c r="K50" s="83">
        <f>AVERAGE(K51:K52)</f>
        <v>357.75411489098099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" x14ac:dyDescent="0.3">
      <c r="A51" s="68" t="s">
        <v>48</v>
      </c>
      <c r="B51" s="1"/>
      <c r="C51" s="1"/>
      <c r="D51" s="1"/>
      <c r="E51" s="1"/>
      <c r="F51" s="69"/>
      <c r="G51" s="1">
        <v>183</v>
      </c>
      <c r="H51" s="1">
        <f>G51*(1+H17)</f>
        <v>214.62145688800794</v>
      </c>
      <c r="I51" s="1">
        <f>H51*(1+I17)</f>
        <v>251.85170961347868</v>
      </c>
      <c r="J51" s="1">
        <f>I51*(1+J17)</f>
        <v>295.42205537661039</v>
      </c>
      <c r="K51" s="69">
        <f>J51*(1+K17)</f>
        <v>346.39684140237847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" x14ac:dyDescent="0.3">
      <c r="A52" s="72" t="s">
        <v>49</v>
      </c>
      <c r="B52" s="17"/>
      <c r="C52" s="17"/>
      <c r="D52" s="17"/>
      <c r="E52" s="17"/>
      <c r="F52" s="69"/>
      <c r="G52" s="17">
        <v>195</v>
      </c>
      <c r="H52" s="17">
        <f>G52*(1+H17)</f>
        <v>228.69499504459861</v>
      </c>
      <c r="I52" s="17">
        <f>H52*(1+I17)</f>
        <v>268.36657581764121</v>
      </c>
      <c r="J52" s="17">
        <f>I52*(1+J17)</f>
        <v>314.79399343409301</v>
      </c>
      <c r="K52" s="18">
        <f>J52*(1+K17)</f>
        <v>369.11138837958356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" x14ac:dyDescent="0.3">
      <c r="A53" s="75"/>
      <c r="B53" s="1"/>
      <c r="C53" s="1"/>
      <c r="D53" s="1"/>
      <c r="E53" s="1"/>
      <c r="F53" s="5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" x14ac:dyDescent="0.3">
      <c r="A54" s="66" t="s">
        <v>60</v>
      </c>
      <c r="B54" s="76">
        <v>217019760</v>
      </c>
      <c r="C54" s="76">
        <v>236996613</v>
      </c>
      <c r="D54" s="76">
        <v>198243486</v>
      </c>
      <c r="E54" s="76">
        <v>286596095</v>
      </c>
      <c r="F54" s="77">
        <v>422812147</v>
      </c>
      <c r="G54" s="76">
        <f>SUM(G55:G56)</f>
        <v>848016421248.16333</v>
      </c>
      <c r="H54" s="76">
        <f>SUM(H55:H56)</f>
        <v>1024385767142.2544</v>
      </c>
      <c r="I54" s="76">
        <f>SUM(I55:I56)</f>
        <v>1250168752553.2002</v>
      </c>
      <c r="J54" s="76">
        <f>SUM(J55:J56)</f>
        <v>1539770344082.1484</v>
      </c>
      <c r="K54" s="77">
        <f>SUM(K55:K56)</f>
        <v>1895729017743.4922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" x14ac:dyDescent="0.3">
      <c r="A55" s="1" t="s">
        <v>61</v>
      </c>
      <c r="B55" s="1"/>
      <c r="C55" s="1"/>
      <c r="D55" s="1"/>
      <c r="E55" s="1"/>
      <c r="F55" s="69"/>
      <c r="G55" s="22">
        <f t="shared" ref="G55:K56" si="10">G51*G47*2831.68</f>
        <v>326829429419.94446</v>
      </c>
      <c r="H55" s="22">
        <f t="shared" si="10"/>
        <v>394802986583.95844</v>
      </c>
      <c r="I55" s="22">
        <f t="shared" si="10"/>
        <v>481820787708.58594</v>
      </c>
      <c r="J55" s="22">
        <f t="shared" si="10"/>
        <v>593434573181.27966</v>
      </c>
      <c r="K55" s="24">
        <f t="shared" si="10"/>
        <v>730622683334.36389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" x14ac:dyDescent="0.3">
      <c r="A56" s="72" t="s">
        <v>49</v>
      </c>
      <c r="B56" s="17"/>
      <c r="C56" s="17"/>
      <c r="D56" s="17"/>
      <c r="E56" s="17"/>
      <c r="F56" s="18"/>
      <c r="G56" s="28">
        <f t="shared" si="10"/>
        <v>521186991828.21893</v>
      </c>
      <c r="H56" s="28">
        <f t="shared" si="10"/>
        <v>629582780558.2959</v>
      </c>
      <c r="I56" s="28">
        <f t="shared" si="10"/>
        <v>768347964844.61414</v>
      </c>
      <c r="J56" s="28">
        <f t="shared" si="10"/>
        <v>946335770900.86865</v>
      </c>
      <c r="K56" s="29">
        <f t="shared" si="10"/>
        <v>1165106334409.1284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" x14ac:dyDescent="0.3">
      <c r="A57" s="7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" x14ac:dyDescent="0.3">
      <c r="A58" s="84" t="s">
        <v>62</v>
      </c>
      <c r="B58" s="85">
        <f>FS!B4</f>
        <v>941091</v>
      </c>
      <c r="C58" s="85">
        <f>FS!C4</f>
        <v>765436</v>
      </c>
      <c r="D58" s="85">
        <f>FS!D4</f>
        <v>546212</v>
      </c>
      <c r="E58" s="85">
        <f>FS!E4</f>
        <v>811123</v>
      </c>
      <c r="F58" s="86">
        <f>FS!F4</f>
        <v>750914</v>
      </c>
      <c r="G58" s="87">
        <f>G54*G66</f>
        <v>2531772847.4531341</v>
      </c>
      <c r="H58" s="87">
        <f>H54*H66</f>
        <v>3058327652.1354575</v>
      </c>
      <c r="I58" s="87">
        <f>I54*I66</f>
        <v>3732408032.6061296</v>
      </c>
      <c r="J58" s="87">
        <f>J54*J66</f>
        <v>4597020353.3593378</v>
      </c>
      <c r="K58" s="88">
        <f>K54*K66</f>
        <v>5659743293.871232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" x14ac:dyDescent="0.3">
      <c r="A59" s="7" t="s">
        <v>63</v>
      </c>
      <c r="B59" s="22">
        <v>-2807840</v>
      </c>
      <c r="C59" s="22">
        <v>-2955741</v>
      </c>
      <c r="D59" s="22">
        <v>-3578107</v>
      </c>
      <c r="E59" s="22">
        <v>-4242484</v>
      </c>
      <c r="F59" s="24">
        <v>-4219801</v>
      </c>
      <c r="G59" s="89">
        <f>-G54*G64</f>
        <v>-7185389460.3917513</v>
      </c>
      <c r="H59" s="89">
        <f>-H54*H64</f>
        <v>-8679797360.2509594</v>
      </c>
      <c r="I59" s="89">
        <f>-I54*I64</f>
        <v>-10592895553.938925</v>
      </c>
      <c r="J59" s="89">
        <f>-J54*J64</f>
        <v>-13046739809.008873</v>
      </c>
      <c r="K59" s="90">
        <f>-K54*K64</f>
        <v>-16062839070.738571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" x14ac:dyDescent="0.3">
      <c r="A60" s="7" t="s">
        <v>64</v>
      </c>
      <c r="B60" s="91">
        <f>FS!B6</f>
        <v>-28949456</v>
      </c>
      <c r="C60" s="91">
        <f>FS!C6</f>
        <v>-35087707</v>
      </c>
      <c r="D60" s="91">
        <f>FS!D6</f>
        <v>-30071676</v>
      </c>
      <c r="E60" s="91">
        <f>FS!E6</f>
        <v>-33954750</v>
      </c>
      <c r="F60" s="92">
        <f>FS!F6</f>
        <v>-6644201</v>
      </c>
      <c r="G60" s="89">
        <f>-G54*G65</f>
        <v>-96220673161.272919</v>
      </c>
      <c r="H60" s="89">
        <f>-H54*H65</f>
        <v>-116232522886.97136</v>
      </c>
      <c r="I60" s="89">
        <f>-I54*I65</f>
        <v>-141851119768.18137</v>
      </c>
      <c r="J60" s="89">
        <f>-J54*J65</f>
        <v>-174710931662.48053</v>
      </c>
      <c r="K60" s="90">
        <f>-K54*K65</f>
        <v>-215099988217.39514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" x14ac:dyDescent="0.3">
      <c r="A61" s="37"/>
      <c r="B61" s="91"/>
      <c r="C61" s="91"/>
      <c r="D61" s="91"/>
      <c r="E61" s="91"/>
      <c r="F61" s="92"/>
      <c r="G61" s="19"/>
      <c r="H61" s="19"/>
      <c r="I61" s="19"/>
      <c r="J61" s="19"/>
      <c r="K61" s="3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" x14ac:dyDescent="0.3">
      <c r="A62" s="93" t="s">
        <v>65</v>
      </c>
      <c r="B62" s="94">
        <f t="shared" ref="B62:K62" si="11">B54+B58+B59+B60</f>
        <v>186203555</v>
      </c>
      <c r="C62" s="94">
        <f t="shared" si="11"/>
        <v>199718601</v>
      </c>
      <c r="D62" s="94">
        <f t="shared" si="11"/>
        <v>165139915</v>
      </c>
      <c r="E62" s="94">
        <f t="shared" si="11"/>
        <v>249209984</v>
      </c>
      <c r="F62" s="95">
        <f t="shared" si="11"/>
        <v>412699059</v>
      </c>
      <c r="G62" s="96">
        <f t="shared" si="11"/>
        <v>747142131473.95178</v>
      </c>
      <c r="H62" s="96">
        <f t="shared" si="11"/>
        <v>902531774547.1676</v>
      </c>
      <c r="I62" s="96">
        <f t="shared" si="11"/>
        <v>1101457145263.686</v>
      </c>
      <c r="J62" s="96">
        <f t="shared" si="11"/>
        <v>1356609692964.0186</v>
      </c>
      <c r="K62" s="97">
        <f t="shared" si="11"/>
        <v>1670225933749.23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" x14ac:dyDescent="0.3">
      <c r="A63" s="37"/>
      <c r="B63" s="91"/>
      <c r="C63" s="91"/>
      <c r="D63" s="91"/>
      <c r="E63" s="91"/>
      <c r="F63" s="92"/>
      <c r="G63" s="19"/>
      <c r="H63" s="19"/>
      <c r="I63" s="19"/>
      <c r="J63" s="19"/>
      <c r="K63" s="3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" x14ac:dyDescent="0.3">
      <c r="A64" s="7" t="s">
        <v>66</v>
      </c>
      <c r="B64" s="98">
        <f>B59/B54</f>
        <v>-1.2938176689532788E-2</v>
      </c>
      <c r="C64" s="98">
        <f>-C59/C54</f>
        <v>1.2471659246877084E-2</v>
      </c>
      <c r="D64" s="98">
        <f>-D59/D54</f>
        <v>1.804905206317851E-2</v>
      </c>
      <c r="E64" s="98">
        <f>-E59/E54</f>
        <v>1.48030069984031E-2</v>
      </c>
      <c r="F64" s="99">
        <f>-F59/F54</f>
        <v>9.980321118825377E-3</v>
      </c>
      <c r="G64" s="100">
        <f>AVERAGE(B64:F64)</f>
        <v>8.4731725475502562E-3</v>
      </c>
      <c r="H64" s="101">
        <f t="shared" ref="H64:K66" si="12">G64</f>
        <v>8.4731725475502562E-3</v>
      </c>
      <c r="I64" s="101">
        <f t="shared" si="12"/>
        <v>8.4731725475502562E-3</v>
      </c>
      <c r="J64" s="101">
        <f t="shared" si="12"/>
        <v>8.4731725475502562E-3</v>
      </c>
      <c r="K64" s="102">
        <f t="shared" si="12"/>
        <v>8.4731725475502562E-3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" x14ac:dyDescent="0.3">
      <c r="A65" s="7" t="s">
        <v>67</v>
      </c>
      <c r="B65" s="98">
        <f>-B60/B54</f>
        <v>0.1333954843558946</v>
      </c>
      <c r="C65" s="98">
        <f>-C60/C54</f>
        <v>0.14805151244925174</v>
      </c>
      <c r="D65" s="98">
        <f>-D60/D54</f>
        <v>0.15169061343079893</v>
      </c>
      <c r="E65" s="98">
        <f>-E60/E54</f>
        <v>0.11847596876712503</v>
      </c>
      <c r="F65" s="99">
        <f>-F60/F54</f>
        <v>1.5714309645886309E-2</v>
      </c>
      <c r="G65" s="100">
        <f>AVERAGE(B65:F65)</f>
        <v>0.11346557772979131</v>
      </c>
      <c r="H65" s="101">
        <f t="shared" si="12"/>
        <v>0.11346557772979131</v>
      </c>
      <c r="I65" s="101">
        <f t="shared" si="12"/>
        <v>0.11346557772979131</v>
      </c>
      <c r="J65" s="101">
        <f t="shared" si="12"/>
        <v>0.11346557772979131</v>
      </c>
      <c r="K65" s="102">
        <f t="shared" si="12"/>
        <v>0.11346557772979131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" x14ac:dyDescent="0.3">
      <c r="A66" s="45" t="s">
        <v>68</v>
      </c>
      <c r="B66" s="103">
        <f>B58/B54</f>
        <v>4.3364300098755982E-3</v>
      </c>
      <c r="C66" s="103">
        <f>C58/C54</f>
        <v>3.2297339202902449E-3</v>
      </c>
      <c r="D66" s="103">
        <f>D58/D54</f>
        <v>2.7552582484349575E-3</v>
      </c>
      <c r="E66" s="103">
        <f>E58/E54</f>
        <v>2.8301955754142429E-3</v>
      </c>
      <c r="F66" s="104">
        <f>F58/F54</f>
        <v>1.7759991176412441E-3</v>
      </c>
      <c r="G66" s="105">
        <f>AVERAGE(B66:F66)</f>
        <v>2.9855233743312577E-3</v>
      </c>
      <c r="H66" s="106">
        <f t="shared" si="12"/>
        <v>2.9855233743312577E-3</v>
      </c>
      <c r="I66" s="106">
        <f t="shared" si="12"/>
        <v>2.9855233743312577E-3</v>
      </c>
      <c r="J66" s="106">
        <f t="shared" si="12"/>
        <v>2.9855233743312577E-3</v>
      </c>
      <c r="K66" s="107">
        <f t="shared" si="12"/>
        <v>2.9855233743312577E-3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" x14ac:dyDescent="0.3">
      <c r="A67" s="1"/>
      <c r="B67" s="1"/>
      <c r="C67" s="13"/>
      <c r="D67" s="13"/>
      <c r="E67" s="13"/>
      <c r="F67" s="14"/>
      <c r="G67" s="13"/>
      <c r="H67" s="13"/>
      <c r="I67" s="13"/>
      <c r="J67" s="13"/>
      <c r="K67" s="1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" x14ac:dyDescent="0.3">
      <c r="A68" s="55"/>
      <c r="B68" s="55"/>
      <c r="C68" s="108"/>
      <c r="D68" s="108"/>
      <c r="E68" s="108"/>
      <c r="F68" s="108"/>
      <c r="G68" s="108"/>
      <c r="H68" s="108"/>
      <c r="I68" s="108"/>
      <c r="J68" s="108"/>
      <c r="K68" s="108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" x14ac:dyDescent="0.3">
      <c r="A69" s="66" t="s">
        <v>26</v>
      </c>
      <c r="B69" s="55"/>
      <c r="C69" s="55"/>
      <c r="D69" s="55"/>
      <c r="E69" s="55"/>
      <c r="F69" s="67"/>
      <c r="G69" s="55"/>
      <c r="H69" s="55"/>
      <c r="I69" s="55"/>
      <c r="J69" s="55"/>
      <c r="K69" s="67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" x14ac:dyDescent="0.3">
      <c r="A70" s="68" t="s">
        <v>48</v>
      </c>
      <c r="B70" s="1"/>
      <c r="C70" s="1"/>
      <c r="D70" s="1"/>
      <c r="E70" s="1"/>
      <c r="F70" s="69"/>
      <c r="G70" s="109">
        <f>4*0.5+6*0.5</f>
        <v>5</v>
      </c>
      <c r="H70" s="109">
        <v>6</v>
      </c>
      <c r="I70" s="110">
        <v>6</v>
      </c>
      <c r="J70" s="110">
        <v>6</v>
      </c>
      <c r="K70" s="111">
        <v>6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" x14ac:dyDescent="0.3">
      <c r="A71" s="68" t="s">
        <v>69</v>
      </c>
      <c r="B71" s="1"/>
      <c r="C71" s="1"/>
      <c r="D71" s="1"/>
      <c r="E71" s="1"/>
      <c r="F71" s="69"/>
      <c r="G71" s="109">
        <f>4*0.5+6*0.5</f>
        <v>5</v>
      </c>
      <c r="H71" s="109">
        <v>6</v>
      </c>
      <c r="I71" s="110">
        <v>6</v>
      </c>
      <c r="J71" s="110">
        <v>6</v>
      </c>
      <c r="K71" s="111">
        <v>6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" x14ac:dyDescent="0.3">
      <c r="A72" s="112"/>
      <c r="B72" s="1"/>
      <c r="C72" s="1"/>
      <c r="D72" s="1"/>
      <c r="E72" s="1"/>
      <c r="F72" s="69"/>
      <c r="G72" s="1"/>
      <c r="H72" s="1"/>
      <c r="I72" s="1"/>
      <c r="J72" s="1"/>
      <c r="K72" s="69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" x14ac:dyDescent="0.3">
      <c r="A73" s="68" t="s">
        <v>61</v>
      </c>
      <c r="B73" s="1"/>
      <c r="C73" s="1"/>
      <c r="D73" s="1"/>
      <c r="E73" s="1"/>
      <c r="F73" s="69"/>
      <c r="G73" s="1">
        <f t="shared" ref="G73:K74" si="13">G70*G47*2831.68</f>
        <v>8929765831.1460228</v>
      </c>
      <c r="H73" s="1">
        <f t="shared" si="13"/>
        <v>11037190567.296486</v>
      </c>
      <c r="I73" s="1">
        <f t="shared" si="13"/>
        <v>11478678189.988346</v>
      </c>
      <c r="J73" s="1">
        <f t="shared" si="13"/>
        <v>12052612099.487762</v>
      </c>
      <c r="K73" s="69">
        <f t="shared" si="13"/>
        <v>12655242704.462151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" x14ac:dyDescent="0.3">
      <c r="A74" s="68" t="s">
        <v>70</v>
      </c>
      <c r="B74" s="1"/>
      <c r="C74" s="1"/>
      <c r="D74" s="1"/>
      <c r="E74" s="1"/>
      <c r="F74" s="69"/>
      <c r="G74" s="1">
        <f t="shared" si="13"/>
        <v>13363769021.236383</v>
      </c>
      <c r="H74" s="1">
        <f t="shared" si="13"/>
        <v>16517618510.248169</v>
      </c>
      <c r="I74" s="1">
        <f t="shared" si="13"/>
        <v>17178323250.658096</v>
      </c>
      <c r="J74" s="1">
        <f t="shared" si="13"/>
        <v>18037239413.191002</v>
      </c>
      <c r="K74" s="69">
        <f t="shared" si="13"/>
        <v>18939101383.850555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" x14ac:dyDescent="0.3">
      <c r="A75" s="113" t="s">
        <v>26</v>
      </c>
      <c r="B75" s="114">
        <f>FS!B9</f>
        <v>15424375</v>
      </c>
      <c r="C75" s="114">
        <f>FS!C9</f>
        <v>15097474</v>
      </c>
      <c r="D75" s="114">
        <f>FS!D9</f>
        <v>7549635</v>
      </c>
      <c r="E75" s="114">
        <f>FS!E9</f>
        <v>23665985</v>
      </c>
      <c r="F75" s="114">
        <f>FS!F9</f>
        <v>33592886</v>
      </c>
      <c r="G75" s="115">
        <f>SUM(G73:G74)</f>
        <v>22293534852.382408</v>
      </c>
      <c r="H75" s="114">
        <f>SUM(H73:H74)</f>
        <v>27554809077.544655</v>
      </c>
      <c r="I75" s="114">
        <f>SUM(I73:I74)</f>
        <v>28657001440.646442</v>
      </c>
      <c r="J75" s="114">
        <f>SUM(J73:J74)</f>
        <v>30089851512.678764</v>
      </c>
      <c r="K75" s="116">
        <f>SUM(K73:K74)</f>
        <v>31594344088.312706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" x14ac:dyDescent="0.3">
      <c r="A76" s="75"/>
      <c r="B76" s="1"/>
      <c r="C76" s="1"/>
      <c r="D76" s="1"/>
      <c r="E76" s="1"/>
      <c r="F76" s="1"/>
      <c r="G76" s="1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" x14ac:dyDescent="0.3">
      <c r="A77" s="66" t="s">
        <v>71</v>
      </c>
      <c r="B77" s="55"/>
      <c r="C77" s="55"/>
      <c r="D77" s="55"/>
      <c r="E77" s="55"/>
      <c r="F77" s="67"/>
      <c r="G77" s="78"/>
      <c r="H77" s="117"/>
      <c r="I77" s="117"/>
      <c r="J77" s="117"/>
      <c r="K77" s="118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" x14ac:dyDescent="0.3">
      <c r="A78" s="68" t="s">
        <v>72</v>
      </c>
      <c r="B78" s="1">
        <v>1906291</v>
      </c>
      <c r="C78" s="1">
        <v>1848137</v>
      </c>
      <c r="D78" s="1">
        <v>1980202</v>
      </c>
      <c r="E78" s="1">
        <v>2257242</v>
      </c>
      <c r="F78" s="69">
        <v>2770437</v>
      </c>
      <c r="G78" s="119">
        <f>F78*(1+G79+G80)</f>
        <v>3464154.4247999997</v>
      </c>
      <c r="H78" s="78">
        <f>G78*(1+H79+H80)</f>
        <v>3997980.6216616803</v>
      </c>
      <c r="I78" s="78">
        <f>H78*(1+I79+I80)</f>
        <v>4517718.1024776995</v>
      </c>
      <c r="J78" s="78">
        <f>I78*(1+J79+J80)</f>
        <v>4969489.91272547</v>
      </c>
      <c r="K78" s="79">
        <f>J78*(1+K79+K80)</f>
        <v>5466438.9039980173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" x14ac:dyDescent="0.3">
      <c r="A79" s="68" t="s">
        <v>73</v>
      </c>
      <c r="B79" s="70">
        <f t="shared" ref="B79:K79" si="14">B6</f>
        <v>4.1599999999999998E-2</v>
      </c>
      <c r="C79" s="70">
        <f t="shared" si="14"/>
        <v>4.6800000000000001E-2</v>
      </c>
      <c r="D79" s="70">
        <f t="shared" si="14"/>
        <v>6.8000000000000005E-2</v>
      </c>
      <c r="E79" s="70">
        <f t="shared" si="14"/>
        <v>7.0000000000000007E-2</v>
      </c>
      <c r="F79" s="71">
        <f t="shared" si="14"/>
        <v>0.13750000000000001</v>
      </c>
      <c r="G79" s="70">
        <f t="shared" si="14"/>
        <v>0.23039999999999999</v>
      </c>
      <c r="H79" s="70">
        <f t="shared" si="14"/>
        <v>0.1341</v>
      </c>
      <c r="I79" s="70">
        <f t="shared" si="14"/>
        <v>0.11</v>
      </c>
      <c r="J79" s="70">
        <f t="shared" si="14"/>
        <v>0.08</v>
      </c>
      <c r="K79" s="71">
        <f t="shared" si="14"/>
        <v>0.08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" x14ac:dyDescent="0.3">
      <c r="A80" s="68" t="s">
        <v>74</v>
      </c>
      <c r="B80" s="1"/>
      <c r="C80" s="1"/>
      <c r="D80" s="1"/>
      <c r="E80" s="1"/>
      <c r="F80" s="69"/>
      <c r="G80" s="101">
        <v>0.02</v>
      </c>
      <c r="H80" s="101">
        <v>0.02</v>
      </c>
      <c r="I80" s="101">
        <v>0.02</v>
      </c>
      <c r="J80" s="101">
        <v>0.02</v>
      </c>
      <c r="K80" s="102">
        <v>0.02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" x14ac:dyDescent="0.3">
      <c r="A81" s="68" t="s">
        <v>75</v>
      </c>
      <c r="B81" s="1">
        <v>15737</v>
      </c>
      <c r="C81" s="1">
        <v>14150</v>
      </c>
      <c r="D81" s="1">
        <v>25985</v>
      </c>
      <c r="E81" s="1">
        <v>22197</v>
      </c>
      <c r="F81" s="69">
        <v>37195</v>
      </c>
      <c r="G81" s="78">
        <f>F81*(1+$G$6)^0.5</f>
        <v>41257.957510763903</v>
      </c>
      <c r="H81" s="78">
        <f>G81*(1+$G$6)^0.5</f>
        <v>45764.727999999988</v>
      </c>
      <c r="I81" s="78">
        <f>H81*(1+$G$6)^0.5</f>
        <v>50763.790921243897</v>
      </c>
      <c r="J81" s="78">
        <f>I81*(1+$G$6)^0.5</f>
        <v>56308.921331199977</v>
      </c>
      <c r="K81" s="79">
        <f>J81*(1+$G$6)^0.5</f>
        <v>62459.768349498481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" x14ac:dyDescent="0.3">
      <c r="A82" s="68" t="s">
        <v>76</v>
      </c>
      <c r="B82" s="1">
        <v>61950</v>
      </c>
      <c r="C82" s="1">
        <v>81529</v>
      </c>
      <c r="D82" s="1">
        <v>78333</v>
      </c>
      <c r="E82" s="1">
        <v>93933</v>
      </c>
      <c r="F82" s="69">
        <v>150882</v>
      </c>
      <c r="G82" s="78">
        <f>G83*G46/1000</f>
        <v>167363.43984780429</v>
      </c>
      <c r="H82" s="78">
        <f>H83*H46/1000</f>
        <v>183579.20861025</v>
      </c>
      <c r="I82" s="78">
        <f>I83*I46/1000</f>
        <v>201149.20572659289</v>
      </c>
      <c r="J82" s="78">
        <f>J83*J46/1000</f>
        <v>219492.40585896763</v>
      </c>
      <c r="K82" s="79">
        <f>K83*K46/1000</f>
        <v>239508.35925865429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" x14ac:dyDescent="0.3">
      <c r="A83" s="68" t="s">
        <v>77</v>
      </c>
      <c r="B83" s="1"/>
      <c r="C83" s="1"/>
      <c r="D83" s="1"/>
      <c r="E83" s="9">
        <f>(E82*1000)/E46</f>
        <v>59.655904548393103</v>
      </c>
      <c r="F83" s="11">
        <f>(F82*1000)/F46</f>
        <v>95.823642277694191</v>
      </c>
      <c r="G83" s="9">
        <f>F83*(1+G84)^0.5</f>
        <v>106.29083913482314</v>
      </c>
      <c r="H83" s="9">
        <f>G83*(1+H84)^0.5</f>
        <v>113.19350578141497</v>
      </c>
      <c r="I83" s="9">
        <f>H83*(1+I84)^0.5</f>
        <v>119.25675839845228</v>
      </c>
      <c r="J83" s="9">
        <f>I83*(1+J84)^0.5</f>
        <v>123.93525881525147</v>
      </c>
      <c r="K83" s="11">
        <f>J83*(1+K84)^0.5</f>
        <v>128.79729907032851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" x14ac:dyDescent="0.3">
      <c r="A84" s="68" t="s">
        <v>73</v>
      </c>
      <c r="B84" s="70">
        <f t="shared" ref="B84:K84" si="15">B6</f>
        <v>4.1599999999999998E-2</v>
      </c>
      <c r="C84" s="70">
        <f t="shared" si="15"/>
        <v>4.6800000000000001E-2</v>
      </c>
      <c r="D84" s="70">
        <f t="shared" si="15"/>
        <v>6.8000000000000005E-2</v>
      </c>
      <c r="E84" s="70">
        <f t="shared" si="15"/>
        <v>7.0000000000000007E-2</v>
      </c>
      <c r="F84" s="71">
        <f t="shared" si="15"/>
        <v>0.13750000000000001</v>
      </c>
      <c r="G84" s="70">
        <f t="shared" si="15"/>
        <v>0.23039999999999999</v>
      </c>
      <c r="H84" s="70">
        <f t="shared" si="15"/>
        <v>0.1341</v>
      </c>
      <c r="I84" s="70">
        <f t="shared" si="15"/>
        <v>0.11</v>
      </c>
      <c r="J84" s="70">
        <f t="shared" si="15"/>
        <v>0.08</v>
      </c>
      <c r="K84" s="71">
        <f t="shared" si="15"/>
        <v>0.08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" x14ac:dyDescent="0.3">
      <c r="A85" s="68" t="s">
        <v>78</v>
      </c>
      <c r="B85" s="1">
        <v>517926</v>
      </c>
      <c r="C85" s="1">
        <v>541753</v>
      </c>
      <c r="D85" s="1">
        <v>245100</v>
      </c>
      <c r="E85" s="1">
        <v>175077</v>
      </c>
      <c r="F85" s="69">
        <v>137281</v>
      </c>
      <c r="G85" s="119">
        <f>F85*(1+10%)</f>
        <v>151009.1</v>
      </c>
      <c r="H85" s="78">
        <f>G85*(1+10%)</f>
        <v>166110.01</v>
      </c>
      <c r="I85" s="78">
        <f>H85*(1+10%)</f>
        <v>182721.01100000003</v>
      </c>
      <c r="J85" s="78">
        <f>I85*(1+10%)</f>
        <v>200993.11210000006</v>
      </c>
      <c r="K85" s="79">
        <f>J85*(1+10%)</f>
        <v>221092.42331000007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" x14ac:dyDescent="0.3">
      <c r="A86" s="68" t="s">
        <v>79</v>
      </c>
      <c r="B86" s="1">
        <v>707575</v>
      </c>
      <c r="C86" s="1">
        <v>949860</v>
      </c>
      <c r="D86" s="1">
        <v>566025</v>
      </c>
      <c r="E86" s="1">
        <v>806267</v>
      </c>
      <c r="F86" s="69">
        <v>898714</v>
      </c>
      <c r="G86" s="119">
        <f>F86*(1+G6)^0.5</f>
        <v>996884.09803276439</v>
      </c>
      <c r="H86" s="78">
        <f>G86*(1+H6)^0.5</f>
        <v>1061623.0602050379</v>
      </c>
      <c r="I86" s="78">
        <f>H86*(1+I6)^0.5</f>
        <v>1118489.2978364218</v>
      </c>
      <c r="J86" s="78">
        <f>I86*(1+J6)^0.5</f>
        <v>1162368.1749448327</v>
      </c>
      <c r="K86" s="79">
        <f>J86*(1+K6)^0.5</f>
        <v>1207968.4416633358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" x14ac:dyDescent="0.3">
      <c r="A87" s="68" t="s">
        <v>80</v>
      </c>
      <c r="B87" s="1">
        <v>718049</v>
      </c>
      <c r="C87" s="1">
        <v>851536</v>
      </c>
      <c r="D87" s="1">
        <v>966315</v>
      </c>
      <c r="E87" s="1">
        <v>1123826</v>
      </c>
      <c r="F87" s="1">
        <v>1539280</v>
      </c>
      <c r="G87" s="119">
        <f>G197</f>
        <v>1492230.3427077672</v>
      </c>
      <c r="H87" s="78">
        <f>H197</f>
        <v>1694172.0209368255</v>
      </c>
      <c r="I87" s="78">
        <f>I197</f>
        <v>1923442.2155743958</v>
      </c>
      <c r="J87" s="78">
        <f>J197</f>
        <v>2183739.2607912142</v>
      </c>
      <c r="K87" s="79">
        <f>K197</f>
        <v>2479261.9817262772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" x14ac:dyDescent="0.3">
      <c r="A88" s="68" t="s">
        <v>81</v>
      </c>
      <c r="B88" s="1"/>
      <c r="C88" s="1">
        <v>505222</v>
      </c>
      <c r="D88" s="1">
        <v>598442</v>
      </c>
      <c r="E88" s="1">
        <v>677163</v>
      </c>
      <c r="F88" s="69">
        <v>783520</v>
      </c>
      <c r="G88" s="78">
        <f>F88</f>
        <v>783520</v>
      </c>
      <c r="H88" s="78">
        <f>G88</f>
        <v>783520</v>
      </c>
      <c r="I88" s="78">
        <f>H88</f>
        <v>783520</v>
      </c>
      <c r="J88" s="78">
        <f>I88</f>
        <v>783520</v>
      </c>
      <c r="K88" s="79">
        <f>J88</f>
        <v>783520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" x14ac:dyDescent="0.3">
      <c r="A89" s="68" t="s">
        <v>82</v>
      </c>
      <c r="B89" s="1">
        <v>16214</v>
      </c>
      <c r="C89" s="1">
        <v>23178</v>
      </c>
      <c r="D89" s="1">
        <v>18215</v>
      </c>
      <c r="E89" s="1">
        <v>15072</v>
      </c>
      <c r="F89" s="69">
        <v>8032</v>
      </c>
      <c r="G89" s="119">
        <f>F89*(1+$G$6)^0.5</f>
        <v>8909.3672463087969</v>
      </c>
      <c r="H89" s="78">
        <f>G89*(1+$H$6)^0.5</f>
        <v>9487.9532527220745</v>
      </c>
      <c r="I89" s="78">
        <f>H89*(1+$I$6)^0.5</f>
        <v>9996.1790293932663</v>
      </c>
      <c r="J89" s="78">
        <f>I89*(1+$J$6)^0.5</f>
        <v>10388.333976278211</v>
      </c>
      <c r="K89" s="79">
        <f>J89*(1+$K$6)^0.5</f>
        <v>10795.873351744729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" x14ac:dyDescent="0.3">
      <c r="A90" s="68" t="s">
        <v>83</v>
      </c>
      <c r="B90" s="22">
        <v>284609</v>
      </c>
      <c r="C90" s="1">
        <v>306686</v>
      </c>
      <c r="D90" s="1">
        <v>163457</v>
      </c>
      <c r="E90" s="1">
        <v>49929</v>
      </c>
      <c r="F90" s="69">
        <v>291363</v>
      </c>
      <c r="G90" s="119">
        <f>F90*(1+$G$6)^0.5</f>
        <v>323189.7371745854</v>
      </c>
      <c r="H90" s="78">
        <f>G90*(1+$H$6)^0.5</f>
        <v>344178.10303446982</v>
      </c>
      <c r="I90" s="78">
        <f>H90*(1+$I$6)^0.5</f>
        <v>362614.13228848483</v>
      </c>
      <c r="J90" s="78">
        <f>I90*(1+$J$6)^0.5</f>
        <v>376839.66039969475</v>
      </c>
      <c r="K90" s="79">
        <f>J90*(1+$K$6)^0.5</f>
        <v>391623.26287156373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" x14ac:dyDescent="0.3">
      <c r="A91" s="68" t="s">
        <v>84</v>
      </c>
      <c r="B91" s="1">
        <v>922408</v>
      </c>
      <c r="C91" s="22">
        <v>809901</v>
      </c>
      <c r="D91" s="22">
        <v>469736</v>
      </c>
      <c r="E91" s="22">
        <v>403216</v>
      </c>
      <c r="F91" s="24">
        <v>1248295</v>
      </c>
      <c r="G91" s="22">
        <f>G92*FS!G7</f>
        <v>2464991.0378370592</v>
      </c>
      <c r="H91" s="22">
        <f>H92*FS!H7</f>
        <v>2977656.6491211294</v>
      </c>
      <c r="I91" s="22">
        <f>I92*FS!I7</f>
        <v>3633956.4819886428</v>
      </c>
      <c r="J91" s="22">
        <f>J92*FS!J7</f>
        <v>4475762.5010413108</v>
      </c>
      <c r="K91" s="24">
        <f>K92*FS!K7</f>
        <v>5510453.4792232141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" x14ac:dyDescent="0.3">
      <c r="A92" s="68" t="s">
        <v>85</v>
      </c>
      <c r="B92" s="13">
        <f>B91/FS!B7</f>
        <v>4.9537614896772511E-3</v>
      </c>
      <c r="C92" s="13">
        <f>C91/FS!C7</f>
        <v>4.0552106611241485E-3</v>
      </c>
      <c r="D92" s="13">
        <f>D91/FS!D7</f>
        <v>2.8444728217281692E-3</v>
      </c>
      <c r="E92" s="13">
        <f>E91/FS!E7</f>
        <v>1.6179769105879804E-3</v>
      </c>
      <c r="F92" s="13">
        <f>F91/FS!F7</f>
        <v>3.0247100708800019E-3</v>
      </c>
      <c r="G92" s="120">
        <f>AVERAGE(B92:F92)</f>
        <v>3.2992263907995105E-3</v>
      </c>
      <c r="H92" s="13">
        <f>G92</f>
        <v>3.2992263907995105E-3</v>
      </c>
      <c r="I92" s="13">
        <f>H92</f>
        <v>3.2992263907995105E-3</v>
      </c>
      <c r="J92" s="13">
        <f>I92</f>
        <v>3.2992263907995105E-3</v>
      </c>
      <c r="K92" s="14">
        <f>J92</f>
        <v>3.2992263907995105E-3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" x14ac:dyDescent="0.3">
      <c r="A93" s="68" t="s">
        <v>86</v>
      </c>
      <c r="B93" s="1">
        <v>294047</v>
      </c>
      <c r="C93" s="1">
        <v>167387</v>
      </c>
      <c r="D93" s="1">
        <v>165591</v>
      </c>
      <c r="E93" s="1">
        <v>133135</v>
      </c>
      <c r="F93" s="69">
        <v>206212</v>
      </c>
      <c r="G93" s="119">
        <f>F93*(1+$G$6)^0.5</f>
        <v>228737.35540286722</v>
      </c>
      <c r="H93" s="78">
        <f>G93*(1+$H$6)^0.5</f>
        <v>243591.85958046865</v>
      </c>
      <c r="I93" s="78">
        <f>H93*(1+$I$6)^0.5</f>
        <v>256639.94895533417</v>
      </c>
      <c r="J93" s="78">
        <f>I93*(1+$J$6)^0.5</f>
        <v>266708.05850551324</v>
      </c>
      <c r="K93" s="79">
        <f>J93*(1+$K$6)^0.5</f>
        <v>277171.14487176097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" x14ac:dyDescent="0.3">
      <c r="A94" s="68" t="s">
        <v>87</v>
      </c>
      <c r="B94" s="1">
        <v>23167</v>
      </c>
      <c r="C94" s="1">
        <v>53805</v>
      </c>
      <c r="D94" s="1">
        <v>69599</v>
      </c>
      <c r="E94" s="1">
        <v>63422</v>
      </c>
      <c r="F94" s="69">
        <v>94054</v>
      </c>
      <c r="G94" s="119">
        <f>F94*(1+$G$6)^0.5</f>
        <v>104327.89180581768</v>
      </c>
      <c r="H94" s="78">
        <f>G94*(1+$H$6)^0.5</f>
        <v>111103.08207563769</v>
      </c>
      <c r="I94" s="78">
        <f>H94*(1+$I$6)^0.5</f>
        <v>117054.3603623698</v>
      </c>
      <c r="J94" s="78">
        <f>I94*(1+$J$6)^0.5</f>
        <v>121646.45963706062</v>
      </c>
      <c r="K94" s="79">
        <f>J94*(1+$K$6)^0.5</f>
        <v>126418.70919135942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" x14ac:dyDescent="0.3">
      <c r="A95" s="68" t="s">
        <v>88</v>
      </c>
      <c r="B95" s="1">
        <v>106067</v>
      </c>
      <c r="C95" s="1">
        <v>105464</v>
      </c>
      <c r="D95" s="1">
        <v>125963</v>
      </c>
      <c r="E95" s="1">
        <v>108242</v>
      </c>
      <c r="F95" s="69">
        <v>129780</v>
      </c>
      <c r="G95" s="119">
        <f>F95*(1+$G$6)^0.5</f>
        <v>143956.38461478532</v>
      </c>
      <c r="H95" s="78">
        <f>G95*(1+$H$6)^0.5</f>
        <v>153305.10123733451</v>
      </c>
      <c r="I95" s="78">
        <f>H95*(1+$I$6)^0.5</f>
        <v>161516.94651825924</v>
      </c>
      <c r="J95" s="78">
        <f>I95*(1+$J$6)^0.5</f>
        <v>167853.33459180608</v>
      </c>
      <c r="K95" s="79">
        <f>J95*(1+$K$6)^0.5</f>
        <v>174438.30223972004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" x14ac:dyDescent="0.3">
      <c r="A96" s="68" t="s">
        <v>89</v>
      </c>
      <c r="B96" s="1">
        <v>160509</v>
      </c>
      <c r="C96" s="1">
        <v>157529</v>
      </c>
      <c r="D96" s="1">
        <v>83000</v>
      </c>
      <c r="E96" s="1">
        <v>199466</v>
      </c>
      <c r="F96" s="69">
        <v>261601</v>
      </c>
      <c r="G96" s="119">
        <f>F96*(1+$G$6)^0.5</f>
        <v>290176.71576215484</v>
      </c>
      <c r="H96" s="78">
        <f>G96*(1+$H$6)^0.5</f>
        <v>309021.17266749841</v>
      </c>
      <c r="I96" s="78">
        <f>H96*(1+$I$6)^0.5</f>
        <v>325574.00775252836</v>
      </c>
      <c r="J96" s="78">
        <f>I96*(1+$J$6)^0.5</f>
        <v>338346.43383072165</v>
      </c>
      <c r="K96" s="79">
        <f>J96*(1+$K$6)^0.5</f>
        <v>351619.92837273073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" x14ac:dyDescent="0.3">
      <c r="A97" s="68" t="s">
        <v>90</v>
      </c>
      <c r="B97" s="1">
        <v>49627</v>
      </c>
      <c r="C97" s="1">
        <v>145150</v>
      </c>
      <c r="D97" s="1">
        <v>248683</v>
      </c>
      <c r="E97" s="1">
        <v>170592</v>
      </c>
      <c r="F97" s="69">
        <v>191530</v>
      </c>
      <c r="G97" s="119">
        <f>F97*(1+$G$6)^0.5</f>
        <v>212451.58225666382</v>
      </c>
      <c r="H97" s="78">
        <f>G97*(1+$H$6)^0.5</f>
        <v>226248.4669439565</v>
      </c>
      <c r="I97" s="78">
        <f>H97*(1+$I$6)^0.5</f>
        <v>238367.55098352741</v>
      </c>
      <c r="J97" s="78">
        <f>I97*(1+$J$6)^0.5</f>
        <v>247718.82550754055</v>
      </c>
      <c r="K97" s="79">
        <f>J97*(1+$K$6)^0.5</f>
        <v>257436.95506220966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" x14ac:dyDescent="0.3">
      <c r="A98" s="68"/>
      <c r="B98" s="85">
        <f t="shared" ref="B98:K98" si="16">B78+B81+B82+B85+B86+B87+B88+B89+B90+B91+B93+B94+B95+B96+B97</f>
        <v>5784176</v>
      </c>
      <c r="C98" s="76">
        <f t="shared" si="16"/>
        <v>6561287</v>
      </c>
      <c r="D98" s="76">
        <f t="shared" si="16"/>
        <v>5804646</v>
      </c>
      <c r="E98" s="76">
        <f t="shared" si="16"/>
        <v>6298779</v>
      </c>
      <c r="F98" s="76">
        <f t="shared" si="16"/>
        <v>8748176</v>
      </c>
      <c r="G98" s="121">
        <f t="shared" si="16"/>
        <v>10873159.434999343</v>
      </c>
      <c r="H98" s="122">
        <f t="shared" si="16"/>
        <v>12307342.03732701</v>
      </c>
      <c r="I98" s="122">
        <f t="shared" si="16"/>
        <v>13883523.231414894</v>
      </c>
      <c r="J98" s="122">
        <f t="shared" si="16"/>
        <v>15581175.395241609</v>
      </c>
      <c r="K98" s="123">
        <f t="shared" si="16"/>
        <v>17560207.533490088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" x14ac:dyDescent="0.3">
      <c r="A99" s="68" t="s">
        <v>91</v>
      </c>
      <c r="B99" s="1">
        <v>-92753</v>
      </c>
      <c r="C99" s="1">
        <v>-77837</v>
      </c>
      <c r="D99" s="1">
        <v>-92488</v>
      </c>
      <c r="E99" s="1">
        <v>-116691</v>
      </c>
      <c r="F99" s="1">
        <v>-75363</v>
      </c>
      <c r="G99" s="119">
        <f>AVERAGE(B99:F99)</f>
        <v>-91026.4</v>
      </c>
      <c r="H99" s="78">
        <f>AVERAGE(B99:G99)</f>
        <v>-91026.400000000009</v>
      </c>
      <c r="I99" s="78">
        <f>AVERAGE(B99:H99)</f>
        <v>-91026.400000000009</v>
      </c>
      <c r="J99" s="78">
        <f>AVERAGE(B99:I99)</f>
        <v>-91026.400000000009</v>
      </c>
      <c r="K99" s="79">
        <f>AVERAGE(B99:J99)</f>
        <v>-91026.400000000009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" x14ac:dyDescent="0.3">
      <c r="A100" s="68" t="s">
        <v>92</v>
      </c>
      <c r="B100" s="17">
        <v>790714</v>
      </c>
      <c r="C100" s="1">
        <v>904762</v>
      </c>
      <c r="D100" s="1">
        <v>1098461</v>
      </c>
      <c r="E100" s="1">
        <v>1335748</v>
      </c>
      <c r="F100" s="1">
        <v>1608931</v>
      </c>
      <c r="G100" s="124">
        <f>AVERAGE(B100:F100)</f>
        <v>1147723.2</v>
      </c>
      <c r="H100" s="80">
        <f>AVERAGE(B100:G100)</f>
        <v>1147723.2</v>
      </c>
      <c r="I100" s="80">
        <f>AVERAGE(B100:H100)</f>
        <v>1147723.2</v>
      </c>
      <c r="J100" s="80">
        <f>AVERAGE(B100:I100)</f>
        <v>1147723.2</v>
      </c>
      <c r="K100" s="81">
        <f>AVERAGE(B100:J100)</f>
        <v>1147723.2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" x14ac:dyDescent="0.3">
      <c r="A101" s="72"/>
      <c r="B101" s="125">
        <f t="shared" ref="B101:K101" si="17">B98+B99+B100</f>
        <v>6482137</v>
      </c>
      <c r="C101" s="125">
        <f t="shared" si="17"/>
        <v>7388212</v>
      </c>
      <c r="D101" s="125">
        <f t="shared" si="17"/>
        <v>6810619</v>
      </c>
      <c r="E101" s="125">
        <f t="shared" si="17"/>
        <v>7517836</v>
      </c>
      <c r="F101" s="126">
        <f t="shared" si="17"/>
        <v>10281744</v>
      </c>
      <c r="G101" s="126">
        <f t="shared" si="17"/>
        <v>11929856.234999342</v>
      </c>
      <c r="H101" s="126">
        <f t="shared" si="17"/>
        <v>13364038.837327009</v>
      </c>
      <c r="I101" s="126">
        <f t="shared" si="17"/>
        <v>14940220.031414893</v>
      </c>
      <c r="J101" s="126">
        <f t="shared" si="17"/>
        <v>16637872.195241608</v>
      </c>
      <c r="K101" s="126">
        <f t="shared" si="17"/>
        <v>18616904.333490089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" x14ac:dyDescent="0.3">
      <c r="A102" s="7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" x14ac:dyDescent="0.3">
      <c r="A103" s="66" t="s">
        <v>93</v>
      </c>
      <c r="B103" s="55"/>
      <c r="C103" s="55"/>
      <c r="D103" s="55"/>
      <c r="E103" s="55"/>
      <c r="F103" s="67"/>
      <c r="G103" s="55"/>
      <c r="H103" s="55"/>
      <c r="I103" s="55"/>
      <c r="J103" s="55"/>
      <c r="K103" s="67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" x14ac:dyDescent="0.3">
      <c r="A104" s="1" t="s">
        <v>94</v>
      </c>
      <c r="B104" s="1">
        <v>631969</v>
      </c>
      <c r="C104" s="1">
        <v>502336</v>
      </c>
      <c r="D104" s="1">
        <v>571886</v>
      </c>
      <c r="E104" s="1">
        <v>925730</v>
      </c>
      <c r="F104" s="69">
        <v>1069046</v>
      </c>
      <c r="G104" s="78">
        <f>F104*(1+G105+G106)</f>
        <v>1336735.1184</v>
      </c>
      <c r="H104" s="78">
        <f>G104*(1+H105+H106)</f>
        <v>1542726.0001454402</v>
      </c>
      <c r="I104" s="78">
        <f>H104*(1+I105+I106)</f>
        <v>1743280.3801643476</v>
      </c>
      <c r="J104" s="78">
        <f>I104*(1+J105+J106)</f>
        <v>1917608.4181807826</v>
      </c>
      <c r="K104" s="79">
        <f>J104*(1+K105+K106)</f>
        <v>2109369.2599988612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" x14ac:dyDescent="0.3">
      <c r="A105" s="68" t="s">
        <v>95</v>
      </c>
      <c r="B105" s="1"/>
      <c r="C105" s="1"/>
      <c r="D105" s="1"/>
      <c r="E105" s="1"/>
      <c r="F105" s="69"/>
      <c r="G105" s="70">
        <f>G6</f>
        <v>0.23039999999999999</v>
      </c>
      <c r="H105" s="70">
        <f>H6</f>
        <v>0.1341</v>
      </c>
      <c r="I105" s="70">
        <f>I6</f>
        <v>0.11</v>
      </c>
      <c r="J105" s="70">
        <f>J6</f>
        <v>0.08</v>
      </c>
      <c r="K105" s="71">
        <f>K6</f>
        <v>0.08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" x14ac:dyDescent="0.3">
      <c r="A106" s="68" t="s">
        <v>74</v>
      </c>
      <c r="B106" s="1"/>
      <c r="C106" s="1"/>
      <c r="D106" s="1"/>
      <c r="E106" s="1"/>
      <c r="F106" s="69"/>
      <c r="G106" s="101">
        <v>0.02</v>
      </c>
      <c r="H106" s="101">
        <v>0.02</v>
      </c>
      <c r="I106" s="101">
        <v>0.02</v>
      </c>
      <c r="J106" s="101">
        <v>0.02</v>
      </c>
      <c r="K106" s="102">
        <v>0.02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" x14ac:dyDescent="0.3">
      <c r="A107" s="68" t="s">
        <v>75</v>
      </c>
      <c r="B107" s="22">
        <v>11471</v>
      </c>
      <c r="C107" s="1">
        <v>5866</v>
      </c>
      <c r="D107" s="1">
        <v>3779</v>
      </c>
      <c r="E107" s="1">
        <v>944</v>
      </c>
      <c r="F107" s="69">
        <v>3836</v>
      </c>
      <c r="G107" s="78">
        <f>F107*(1+$G$6)^0.5</f>
        <v>4255.021508570785</v>
      </c>
      <c r="H107" s="78">
        <f>G107*(1+$H$6)^0.5</f>
        <v>4531.3481919125843</v>
      </c>
      <c r="I107" s="78">
        <f>H107*(1+$I$6)^0.5</f>
        <v>4774.0715583606288</v>
      </c>
      <c r="J107" s="78">
        <f>I107*(1+$J$6)^0.5</f>
        <v>4961.3606988300817</v>
      </c>
      <c r="K107" s="79">
        <f>J107*(1+$K$6)^0.5</f>
        <v>5155.9972830294801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" x14ac:dyDescent="0.3">
      <c r="A108" s="68" t="s">
        <v>76</v>
      </c>
      <c r="B108" s="22">
        <v>34260</v>
      </c>
      <c r="C108" s="1">
        <v>19115</v>
      </c>
      <c r="D108" s="1">
        <v>14138</v>
      </c>
      <c r="E108" s="1">
        <v>12811</v>
      </c>
      <c r="F108" s="1">
        <v>22754</v>
      </c>
      <c r="G108" s="119">
        <f>G109*G46/1000</f>
        <v>25239.50975130856</v>
      </c>
      <c r="H108" s="78">
        <f>H109*H46/1000</f>
        <v>27684.954552018324</v>
      </c>
      <c r="I108" s="78">
        <f>I109*I46/1000</f>
        <v>30334.625913647054</v>
      </c>
      <c r="J108" s="78">
        <f>J109*J46/1000</f>
        <v>33100.901385950274</v>
      </c>
      <c r="K108" s="79">
        <f>K109*K46/1000</f>
        <v>36119.43907537956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" x14ac:dyDescent="0.3">
      <c r="A109" s="68" t="s">
        <v>77</v>
      </c>
      <c r="B109" s="1"/>
      <c r="C109" s="1"/>
      <c r="D109" s="1"/>
      <c r="E109" s="9">
        <f>(E108*1000)/E46</f>
        <v>8.1361373869616003</v>
      </c>
      <c r="F109" s="9">
        <f>(F108*1000)/F46</f>
        <v>14.450836788925475</v>
      </c>
      <c r="G109" s="127">
        <f>F109*(1+G110)^0.5</f>
        <v>16.029359059886307</v>
      </c>
      <c r="H109" s="9">
        <f>G109*(1+H110)^0.5</f>
        <v>17.070326682774063</v>
      </c>
      <c r="I109" s="9">
        <f>H109*(1+I110)^0.5</f>
        <v>17.984705137779081</v>
      </c>
      <c r="J109" s="9">
        <f>I109*(1+J110)^0.5</f>
        <v>18.690253834667036</v>
      </c>
      <c r="K109" s="11">
        <f>J109*(1+K110)^0.5</f>
        <v>19.423481548801409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" x14ac:dyDescent="0.3">
      <c r="A110" s="68" t="s">
        <v>73</v>
      </c>
      <c r="B110" s="70">
        <f t="shared" ref="B110:K110" si="18">B6</f>
        <v>4.1599999999999998E-2</v>
      </c>
      <c r="C110" s="70">
        <f t="shared" si="18"/>
        <v>4.6800000000000001E-2</v>
      </c>
      <c r="D110" s="70">
        <f t="shared" si="18"/>
        <v>6.8000000000000005E-2</v>
      </c>
      <c r="E110" s="70">
        <f t="shared" si="18"/>
        <v>7.0000000000000007E-2</v>
      </c>
      <c r="F110" s="70">
        <f t="shared" si="18"/>
        <v>0.13750000000000001</v>
      </c>
      <c r="G110" s="128">
        <f t="shared" si="18"/>
        <v>0.23039999999999999</v>
      </c>
      <c r="H110" s="70">
        <f t="shared" si="18"/>
        <v>0.1341</v>
      </c>
      <c r="I110" s="70">
        <f t="shared" si="18"/>
        <v>0.11</v>
      </c>
      <c r="J110" s="70">
        <f t="shared" si="18"/>
        <v>0.08</v>
      </c>
      <c r="K110" s="71">
        <f t="shared" si="18"/>
        <v>0.08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" x14ac:dyDescent="0.3">
      <c r="A111" s="68" t="s">
        <v>78</v>
      </c>
      <c r="B111" s="22">
        <v>45555</v>
      </c>
      <c r="C111" s="1">
        <v>33946</v>
      </c>
      <c r="D111" s="1">
        <v>24025</v>
      </c>
      <c r="E111" s="1">
        <v>17064</v>
      </c>
      <c r="F111" s="69">
        <v>26844</v>
      </c>
      <c r="G111" s="78">
        <f>F111*(1+10%)</f>
        <v>29528.400000000001</v>
      </c>
      <c r="H111" s="78">
        <f>G111*(1+10%)</f>
        <v>32481.240000000005</v>
      </c>
      <c r="I111" s="78">
        <f>H111*(1+10%)</f>
        <v>35729.364000000009</v>
      </c>
      <c r="J111" s="78">
        <f>I111*(1+10%)</f>
        <v>39302.300400000015</v>
      </c>
      <c r="K111" s="79">
        <f>J111*(1+10%)</f>
        <v>43232.530440000017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" x14ac:dyDescent="0.3">
      <c r="A112" s="68" t="s">
        <v>96</v>
      </c>
      <c r="B112" s="22">
        <v>98343</v>
      </c>
      <c r="C112" s="1">
        <v>113338</v>
      </c>
      <c r="D112" s="1">
        <v>121594</v>
      </c>
      <c r="E112" s="1">
        <v>51222</v>
      </c>
      <c r="F112" s="69">
        <v>64787</v>
      </c>
      <c r="G112" s="78">
        <f>F112*(1+$G$6)^0.5</f>
        <v>71863.941208492033</v>
      </c>
      <c r="H112" s="78">
        <f>G112*(1+$H$6)^0.5</f>
        <v>76530.879903399516</v>
      </c>
      <c r="I112" s="78">
        <f>H112*(1+$I$6)^0.5</f>
        <v>80630.285206337328</v>
      </c>
      <c r="J112" s="78">
        <f>I112*(1+$J$6)^0.5</f>
        <v>83793.450363687298</v>
      </c>
      <c r="K112" s="79">
        <f>J112*(1+$K$6)^0.5</f>
        <v>87080.708022844337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" x14ac:dyDescent="0.3">
      <c r="A113" s="68" t="s">
        <v>82</v>
      </c>
      <c r="B113" s="22">
        <v>12328</v>
      </c>
      <c r="C113" s="1">
        <v>16054</v>
      </c>
      <c r="D113" s="1">
        <v>10938</v>
      </c>
      <c r="E113" s="1">
        <v>17993</v>
      </c>
      <c r="F113" s="69">
        <v>17475</v>
      </c>
      <c r="G113" s="78">
        <f>F113*(1+$G$6)^0.5</f>
        <v>19383.863624159141</v>
      </c>
      <c r="H113" s="78">
        <f>G113*(1+$H$6)^0.5</f>
        <v>20642.677177703965</v>
      </c>
      <c r="I113" s="78">
        <f>H113*(1+$I$6)^0.5</f>
        <v>21748.409927620436</v>
      </c>
      <c r="J113" s="78">
        <f>I113*(1+$J$6)^0.5</f>
        <v>22601.610587084382</v>
      </c>
      <c r="K113" s="79">
        <f>J113*(1+$K$6)^0.5</f>
        <v>23488.282721830077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" x14ac:dyDescent="0.3">
      <c r="A114" s="68" t="s">
        <v>83</v>
      </c>
      <c r="B114" s="22">
        <v>136228</v>
      </c>
      <c r="C114" s="1">
        <v>91588</v>
      </c>
      <c r="D114" s="1">
        <v>64671</v>
      </c>
      <c r="E114" s="1">
        <v>35833</v>
      </c>
      <c r="F114" s="69">
        <v>106935</v>
      </c>
      <c r="G114" s="78">
        <f>F114*(1+$G$6)^0.5</f>
        <v>118615.93457221503</v>
      </c>
      <c r="H114" s="78">
        <f>G114*(1+$H$6)^0.5</f>
        <v>126319.00909858503</v>
      </c>
      <c r="I114" s="78">
        <f>H114*(1+$I$6)^0.5</f>
        <v>133085.33422661465</v>
      </c>
      <c r="J114" s="78">
        <f>I114*(1+$J$6)^0.5</f>
        <v>138306.33637366912</v>
      </c>
      <c r="K114" s="79">
        <f>J114*(1+$K$6)^0.5</f>
        <v>143732.16096474385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" x14ac:dyDescent="0.3">
      <c r="A115" s="68" t="s">
        <v>84</v>
      </c>
      <c r="B115" s="22">
        <v>17084</v>
      </c>
      <c r="C115" s="1">
        <v>62801</v>
      </c>
      <c r="D115" s="1">
        <v>99720</v>
      </c>
      <c r="E115" s="1">
        <v>74300</v>
      </c>
      <c r="F115" s="69">
        <v>46134</v>
      </c>
      <c r="G115" s="78">
        <f>G116*FS!G7</f>
        <v>212184.81974975878</v>
      </c>
      <c r="H115" s="78">
        <f t="shared" ref="H115:K116" si="19">G115</f>
        <v>212184.81974975878</v>
      </c>
      <c r="I115" s="78">
        <f t="shared" si="19"/>
        <v>212184.81974975878</v>
      </c>
      <c r="J115" s="78">
        <f t="shared" si="19"/>
        <v>212184.81974975878</v>
      </c>
      <c r="K115" s="78">
        <f t="shared" si="19"/>
        <v>212184.81974975878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" x14ac:dyDescent="0.3">
      <c r="A116" s="68" t="s">
        <v>85</v>
      </c>
      <c r="B116" s="13">
        <f>B115/FS!B7</f>
        <v>9.1749053878160388E-5</v>
      </c>
      <c r="C116" s="13">
        <f>C115/FS!C7</f>
        <v>3.144474259560831E-4</v>
      </c>
      <c r="D116" s="13">
        <f>D115/FS!D7</f>
        <v>6.0385158851510858E-4</v>
      </c>
      <c r="E116" s="13">
        <f>E115/FS!E7</f>
        <v>2.9814214826962953E-4</v>
      </c>
      <c r="F116" s="13">
        <f>F115/FS!F7</f>
        <v>1.1178605570796807E-4</v>
      </c>
      <c r="G116" s="120">
        <f>AVERAGE(B116:F116)</f>
        <v>2.8399525446538994E-4</v>
      </c>
      <c r="H116" s="13">
        <f t="shared" si="19"/>
        <v>2.8399525446538994E-4</v>
      </c>
      <c r="I116" s="13">
        <f t="shared" si="19"/>
        <v>2.8399525446538994E-4</v>
      </c>
      <c r="J116" s="13">
        <f t="shared" si="19"/>
        <v>2.8399525446538994E-4</v>
      </c>
      <c r="K116" s="14">
        <f t="shared" si="19"/>
        <v>2.8399525446538994E-4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" x14ac:dyDescent="0.3">
      <c r="A117" s="68" t="s">
        <v>97</v>
      </c>
      <c r="B117" s="22">
        <v>1955162</v>
      </c>
      <c r="C117" s="1">
        <v>2448630</v>
      </c>
      <c r="D117" s="1">
        <v>2302054</v>
      </c>
      <c r="E117" s="1">
        <v>2885276</v>
      </c>
      <c r="F117" s="69">
        <v>3499378</v>
      </c>
      <c r="G117" s="78">
        <f>F117*(1+$G$6)^0.5</f>
        <v>3881628.9511520895</v>
      </c>
      <c r="H117" s="78">
        <f>G117*(1+$H$6)^0.5</f>
        <v>4133707.0315742111</v>
      </c>
      <c r="I117" s="78">
        <f>H117*(1+$I$6)^0.5</f>
        <v>4355130.6000398593</v>
      </c>
      <c r="J117" s="78">
        <f>I117*(1+$J$6)^0.5</f>
        <v>4525984.4837201806</v>
      </c>
      <c r="K117" s="79">
        <f>J117*(1+$K$6)^0.5</f>
        <v>4703541.0480430489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" x14ac:dyDescent="0.3">
      <c r="A118" s="68" t="s">
        <v>98</v>
      </c>
      <c r="B118" s="22">
        <v>1029774</v>
      </c>
      <c r="C118" s="1">
        <v>435342</v>
      </c>
      <c r="D118" s="1">
        <v>494155</v>
      </c>
      <c r="E118" s="1">
        <v>620000</v>
      </c>
      <c r="F118" s="69">
        <v>678722</v>
      </c>
      <c r="G118" s="78">
        <f>F118*(1+$G$6)^0.5</f>
        <v>752861.49852455163</v>
      </c>
      <c r="H118" s="78">
        <f>G118*(1+$H$6)^0.5</f>
        <v>801753.31269845995</v>
      </c>
      <c r="I118" s="78">
        <f>H118*(1+$I$6)^0.5</f>
        <v>844699.52977936447</v>
      </c>
      <c r="J118" s="78">
        <f>I118*(1+$J$6)^0.5</f>
        <v>877837.50162443961</v>
      </c>
      <c r="K118" s="79">
        <f>J118*(1+$K$6)^0.5</f>
        <v>912275.49216171389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" x14ac:dyDescent="0.3">
      <c r="A119" s="68" t="s">
        <v>86</v>
      </c>
      <c r="B119" s="22">
        <v>397097</v>
      </c>
      <c r="C119" s="1">
        <v>615820</v>
      </c>
      <c r="D119" s="1">
        <v>697943</v>
      </c>
      <c r="E119" s="1">
        <v>780044</v>
      </c>
      <c r="F119" s="69">
        <v>809203</v>
      </c>
      <c r="G119" s="78">
        <f>F119*(1+$G$6)^0.5</f>
        <v>897595.45615224319</v>
      </c>
      <c r="H119" s="78">
        <f>G119*(1+$H$6)^0.5</f>
        <v>955886.4835610633</v>
      </c>
      <c r="I119" s="78">
        <f>H119*(1+$I$6)^0.5</f>
        <v>1007088.9017831323</v>
      </c>
      <c r="J119" s="78">
        <f>I119*(1+$J$6)^0.5</f>
        <v>1046597.487376277</v>
      </c>
      <c r="K119" s="79">
        <f>J119*(1+$K$6)^0.5</f>
        <v>1087656.0139257831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" x14ac:dyDescent="0.3">
      <c r="A120" s="68" t="s">
        <v>99</v>
      </c>
      <c r="B120" s="22">
        <v>378891</v>
      </c>
      <c r="C120" s="1">
        <v>321238</v>
      </c>
      <c r="D120" s="1">
        <v>420576</v>
      </c>
      <c r="E120" s="1">
        <v>72250</v>
      </c>
      <c r="F120" s="69">
        <v>77318</v>
      </c>
      <c r="G120" s="78">
        <f>F120*(1+$G$6)^0.5</f>
        <v>85763.752085421263</v>
      </c>
      <c r="H120" s="78">
        <f>G120*(1+$H$6)^0.5</f>
        <v>91333.36274825265</v>
      </c>
      <c r="I120" s="78">
        <f>H120*(1+$I$6)^0.5</f>
        <v>96225.668599928846</v>
      </c>
      <c r="J120" s="78">
        <f>I120*(1+$J$6)^0.5</f>
        <v>100000.64820441716</v>
      </c>
      <c r="K120" s="79">
        <f>J120*(1+$K$6)^0.5</f>
        <v>103923.72208792318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" x14ac:dyDescent="0.3">
      <c r="A121" s="68" t="s">
        <v>88</v>
      </c>
      <c r="B121" s="22">
        <v>150260</v>
      </c>
      <c r="C121" s="1">
        <v>242233</v>
      </c>
      <c r="D121" s="1">
        <v>137765</v>
      </c>
      <c r="E121" s="1">
        <v>604827</v>
      </c>
      <c r="F121" s="69">
        <v>778212</v>
      </c>
      <c r="G121" s="78">
        <f>F121*(1+$G$6)^0.5</f>
        <v>863219.18619079445</v>
      </c>
      <c r="H121" s="78">
        <f>G121*(1+$H$6)^0.5</f>
        <v>919277.77349444095</v>
      </c>
      <c r="I121" s="78">
        <f>H121*(1+$I$6)^0.5</f>
        <v>968519.23242308164</v>
      </c>
      <c r="J121" s="78">
        <f>I121*(1+$J$6)^0.5</f>
        <v>1006514.7111986327</v>
      </c>
      <c r="K121" s="79">
        <f>J121*(1+$K$6)^0.5</f>
        <v>1046000.7710169284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" x14ac:dyDescent="0.3">
      <c r="A122" s="68" t="s">
        <v>80</v>
      </c>
      <c r="B122" s="22">
        <v>129327</v>
      </c>
      <c r="C122" s="1">
        <v>110498</v>
      </c>
      <c r="D122" s="1">
        <v>157368</v>
      </c>
      <c r="E122" s="1">
        <v>148414</v>
      </c>
      <c r="F122" s="69">
        <v>180319</v>
      </c>
      <c r="G122" s="22">
        <f>G198</f>
        <v>214991.04865028113</v>
      </c>
      <c r="H122" s="22">
        <f>H198</f>
        <v>244085.520144462</v>
      </c>
      <c r="I122" s="22">
        <f>I198</f>
        <v>277117.31031697849</v>
      </c>
      <c r="J122" s="22">
        <f>J198</f>
        <v>314619.25161257421</v>
      </c>
      <c r="K122" s="24">
        <f>K198</f>
        <v>357196.28402871237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" x14ac:dyDescent="0.3">
      <c r="A123" s="1" t="s">
        <v>100</v>
      </c>
      <c r="B123" s="1">
        <v>0</v>
      </c>
      <c r="C123" s="1">
        <v>21014</v>
      </c>
      <c r="D123" s="1">
        <v>15720</v>
      </c>
      <c r="E123" s="1">
        <v>9960</v>
      </c>
      <c r="F123" s="69">
        <v>6117</v>
      </c>
      <c r="G123" s="1">
        <f>F123</f>
        <v>6117</v>
      </c>
      <c r="H123" s="1">
        <f>G123</f>
        <v>6117</v>
      </c>
      <c r="I123" s="1">
        <f>H123</f>
        <v>6117</v>
      </c>
      <c r="J123" s="1">
        <f>I123</f>
        <v>6117</v>
      </c>
      <c r="K123" s="69">
        <f>J123</f>
        <v>6117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" x14ac:dyDescent="0.3">
      <c r="A124" s="68" t="s">
        <v>101</v>
      </c>
      <c r="B124" s="22">
        <v>1051</v>
      </c>
      <c r="C124" s="1">
        <v>3152</v>
      </c>
      <c r="D124" s="1">
        <v>3152</v>
      </c>
      <c r="E124" s="1">
        <v>3152</v>
      </c>
      <c r="F124" s="69">
        <v>3152</v>
      </c>
      <c r="G124" s="22">
        <f>G204</f>
        <v>2736.3021249407216</v>
      </c>
      <c r="H124" s="22">
        <f>H204</f>
        <v>2740.8042498814425</v>
      </c>
      <c r="I124" s="22">
        <f>I204</f>
        <v>2745.3063748221634</v>
      </c>
      <c r="J124" s="22">
        <f>J204</f>
        <v>2749.8084997628848</v>
      </c>
      <c r="K124" s="24">
        <f>K204</f>
        <v>2754.3106247036058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" x14ac:dyDescent="0.3">
      <c r="A125" s="17"/>
      <c r="B125" s="125">
        <f t="shared" ref="B125:K125" si="20">B104+B107+B108+B111+B112+B113+B114+B115+B117+B118+B119+B120+B121+B122+B123+B124</f>
        <v>5028800</v>
      </c>
      <c r="C125" s="129">
        <f t="shared" si="20"/>
        <v>5042971</v>
      </c>
      <c r="D125" s="129">
        <f t="shared" si="20"/>
        <v>5139484</v>
      </c>
      <c r="E125" s="129">
        <f t="shared" si="20"/>
        <v>6259820</v>
      </c>
      <c r="F125" s="130">
        <f t="shared" si="20"/>
        <v>7390232</v>
      </c>
      <c r="G125" s="131">
        <f t="shared" si="20"/>
        <v>8522719.8036948256</v>
      </c>
      <c r="H125" s="131">
        <f t="shared" si="20"/>
        <v>9198002.2172895893</v>
      </c>
      <c r="I125" s="131">
        <f t="shared" si="20"/>
        <v>9819410.8400638532</v>
      </c>
      <c r="J125" s="131">
        <f t="shared" si="20"/>
        <v>10332280.089976048</v>
      </c>
      <c r="K125" s="132">
        <f t="shared" si="20"/>
        <v>10879827.84014526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" x14ac:dyDescent="0.3">
      <c r="A126" s="75"/>
      <c r="B126" s="1"/>
      <c r="C126" s="1"/>
      <c r="D126" s="1"/>
      <c r="E126" s="1"/>
      <c r="F126" s="13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" x14ac:dyDescent="0.3">
      <c r="A127" s="66" t="s">
        <v>102</v>
      </c>
      <c r="B127" s="55"/>
      <c r="C127" s="55"/>
      <c r="D127" s="55"/>
      <c r="E127" s="55"/>
      <c r="F127" s="69"/>
      <c r="G127" s="3"/>
      <c r="H127" s="55"/>
      <c r="I127" s="55"/>
      <c r="J127" s="55"/>
      <c r="K127" s="6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" x14ac:dyDescent="0.3">
      <c r="A128" s="68" t="s">
        <v>103</v>
      </c>
      <c r="B128" s="1">
        <v>1180</v>
      </c>
      <c r="C128" s="1">
        <v>12273</v>
      </c>
      <c r="D128" s="1">
        <v>0</v>
      </c>
      <c r="E128" s="1">
        <v>123332</v>
      </c>
      <c r="F128" s="22">
        <v>115807</v>
      </c>
      <c r="G128" s="134">
        <f ca="1">G129*G130</f>
        <v>122158.29175082428</v>
      </c>
      <c r="H128" s="22">
        <f ca="1">H129*H130</f>
        <v>230688.76439455728</v>
      </c>
      <c r="I128" s="22">
        <f ca="1">I129*I130</f>
        <v>156398.16660516043</v>
      </c>
      <c r="J128" s="22">
        <f ca="1">J129*J130</f>
        <v>153832.38702719499</v>
      </c>
      <c r="K128" s="24">
        <f ca="1">K129*K130</f>
        <v>134376.82596137709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" x14ac:dyDescent="0.3">
      <c r="A129" s="7" t="s">
        <v>104</v>
      </c>
      <c r="B129" s="22">
        <f>FS!B17</f>
        <v>-59674</v>
      </c>
      <c r="C129" s="22">
        <f>FS!C17</f>
        <v>-139966</v>
      </c>
      <c r="D129" s="22">
        <f>FS!D17</f>
        <v>-4815261</v>
      </c>
      <c r="E129" s="22">
        <f>FS!E17</f>
        <v>6608506</v>
      </c>
      <c r="F129" s="22">
        <f>FS!F17</f>
        <v>2915103</v>
      </c>
      <c r="G129" s="134">
        <f ca="1">FS!G17</f>
        <v>4184279.1230292581</v>
      </c>
      <c r="H129" s="22">
        <f ca="1">FS!H17</f>
        <v>6694281.743466449</v>
      </c>
      <c r="I129" s="22">
        <f ca="1">FS!I17</f>
        <v>4913919.9218133241</v>
      </c>
      <c r="J129" s="22">
        <f ca="1">FS!J17</f>
        <v>4641324.072549561</v>
      </c>
      <c r="K129" s="24">
        <f ca="1">FS!K17</f>
        <v>4136475.6397239412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" x14ac:dyDescent="0.3">
      <c r="A130" s="7" t="s">
        <v>105</v>
      </c>
      <c r="B130" s="70">
        <f>B128/B129</f>
        <v>-1.9774105975801856E-2</v>
      </c>
      <c r="C130" s="70">
        <f>C128/C129</f>
        <v>-8.7685580783904662E-2</v>
      </c>
      <c r="D130" s="70">
        <f>D128/D129</f>
        <v>0</v>
      </c>
      <c r="E130" s="70">
        <f>E128/E129</f>
        <v>1.8662614515292865E-2</v>
      </c>
      <c r="F130" s="71">
        <f>F128/F129</f>
        <v>3.9726555116577356E-2</v>
      </c>
      <c r="G130" s="70">
        <f>AVERAGE(E130:F130)</f>
        <v>2.919458481593511E-2</v>
      </c>
      <c r="H130" s="70">
        <f>AVERAGE(F130:G130)</f>
        <v>3.4460569966256231E-2</v>
      </c>
      <c r="I130" s="70">
        <f>AVERAGE(G130:H130)</f>
        <v>3.1827577391095672E-2</v>
      </c>
      <c r="J130" s="70">
        <f>AVERAGE(H130:I130)</f>
        <v>3.3144073678675952E-2</v>
      </c>
      <c r="K130" s="71">
        <f>AVERAGE(I130:J130)</f>
        <v>3.2485825534885812E-2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" x14ac:dyDescent="0.3">
      <c r="A131" s="68" t="s">
        <v>106</v>
      </c>
      <c r="B131" s="1">
        <v>0</v>
      </c>
      <c r="C131" s="1">
        <v>0</v>
      </c>
      <c r="D131" s="1">
        <v>0</v>
      </c>
      <c r="E131" s="1">
        <v>309128</v>
      </c>
      <c r="F131" s="24">
        <v>108304</v>
      </c>
      <c r="G131" s="22">
        <f ca="1">G132*G129</f>
        <v>175593.28983474814</v>
      </c>
      <c r="H131" s="22">
        <f ca="1">H132*H129</f>
        <v>264818.1610889291</v>
      </c>
      <c r="I131" s="22">
        <f ca="1">I132*I129</f>
        <v>200300.8720253139</v>
      </c>
      <c r="J131" s="22">
        <f ca="1">J132*J129</f>
        <v>186397.41616987984</v>
      </c>
      <c r="K131" s="24">
        <f ca="1">K132*K129</f>
        <v>167366.62175513088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" x14ac:dyDescent="0.3">
      <c r="A132" s="7" t="s">
        <v>105</v>
      </c>
      <c r="B132" s="70">
        <f>B131/B129</f>
        <v>0</v>
      </c>
      <c r="C132" s="70">
        <f>C131/C129</f>
        <v>0</v>
      </c>
      <c r="D132" s="70">
        <f>D131/D129</f>
        <v>0</v>
      </c>
      <c r="E132" s="70">
        <f>E131/E129</f>
        <v>4.6777289753538849E-2</v>
      </c>
      <c r="F132" s="71">
        <f>F131/F129</f>
        <v>3.7152718102928098E-2</v>
      </c>
      <c r="G132" s="70">
        <f>AVERAGE(E132:F132)</f>
        <v>4.1965003928233477E-2</v>
      </c>
      <c r="H132" s="70">
        <f>AVERAGE(F132:G132)</f>
        <v>3.9558861015580787E-2</v>
      </c>
      <c r="I132" s="70">
        <f>AVERAGE(G132:H132)</f>
        <v>4.0761932471907132E-2</v>
      </c>
      <c r="J132" s="70">
        <f>AVERAGE(H132:I132)</f>
        <v>4.0160396743743956E-2</v>
      </c>
      <c r="K132" s="71">
        <f>AVERAGE(I132:J132)</f>
        <v>4.0461164607825548E-2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" x14ac:dyDescent="0.3">
      <c r="A133" s="68"/>
      <c r="B133" s="1"/>
      <c r="C133" s="1"/>
      <c r="D133" s="1"/>
      <c r="E133" s="1"/>
      <c r="F133" s="22"/>
      <c r="G133" s="134"/>
      <c r="H133" s="1"/>
      <c r="I133" s="1"/>
      <c r="J133" s="1"/>
      <c r="K133" s="69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" x14ac:dyDescent="0.3">
      <c r="A134" s="68" t="s">
        <v>107</v>
      </c>
      <c r="B134" s="1">
        <v>0</v>
      </c>
      <c r="C134" s="1">
        <v>0</v>
      </c>
      <c r="D134" s="1">
        <v>0</v>
      </c>
      <c r="E134" s="1">
        <v>45389</v>
      </c>
      <c r="F134" s="22">
        <v>2792974</v>
      </c>
      <c r="G134" s="134">
        <f>F134</f>
        <v>2792974</v>
      </c>
      <c r="H134" s="22">
        <f>G134</f>
        <v>2792974</v>
      </c>
      <c r="I134" s="22">
        <f>H134</f>
        <v>2792974</v>
      </c>
      <c r="J134" s="22">
        <f>I134</f>
        <v>2792974</v>
      </c>
      <c r="K134" s="24">
        <f>J134</f>
        <v>2792974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" x14ac:dyDescent="0.3">
      <c r="A135" s="68" t="s">
        <v>108</v>
      </c>
      <c r="B135" s="22">
        <v>5008315</v>
      </c>
      <c r="C135" s="22">
        <v>2715230</v>
      </c>
      <c r="D135" s="22">
        <v>305354</v>
      </c>
      <c r="E135" s="22">
        <v>3156374</v>
      </c>
      <c r="F135" s="22">
        <v>9902421</v>
      </c>
      <c r="G135" s="134">
        <v>0</v>
      </c>
      <c r="H135" s="22">
        <f t="shared" ref="H135:K142" si="21">G135</f>
        <v>0</v>
      </c>
      <c r="I135" s="22">
        <f t="shared" si="21"/>
        <v>0</v>
      </c>
      <c r="J135" s="22">
        <f t="shared" si="21"/>
        <v>0</v>
      </c>
      <c r="K135" s="24">
        <f t="shared" si="21"/>
        <v>0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" x14ac:dyDescent="0.3">
      <c r="A136" s="68" t="s">
        <v>109</v>
      </c>
      <c r="B136" s="1">
        <v>39</v>
      </c>
      <c r="C136" s="1">
        <v>0</v>
      </c>
      <c r="D136" s="1">
        <v>54782</v>
      </c>
      <c r="E136" s="1">
        <v>0</v>
      </c>
      <c r="F136" s="69">
        <v>0</v>
      </c>
      <c r="G136" s="68">
        <f t="shared" ref="G136:G142" si="22">F136</f>
        <v>0</v>
      </c>
      <c r="H136" s="1">
        <f t="shared" si="21"/>
        <v>0</v>
      </c>
      <c r="I136" s="1">
        <f t="shared" si="21"/>
        <v>0</v>
      </c>
      <c r="J136" s="1">
        <f t="shared" si="21"/>
        <v>0</v>
      </c>
      <c r="K136" s="69">
        <f t="shared" si="21"/>
        <v>0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" x14ac:dyDescent="0.3">
      <c r="A137" s="68" t="s">
        <v>110</v>
      </c>
      <c r="B137" s="1">
        <v>0</v>
      </c>
      <c r="C137" s="1">
        <v>28522</v>
      </c>
      <c r="D137" s="1">
        <v>0</v>
      </c>
      <c r="E137" s="1">
        <v>153410</v>
      </c>
      <c r="F137" s="22">
        <v>1042935</v>
      </c>
      <c r="G137" s="134">
        <f t="shared" si="22"/>
        <v>1042935</v>
      </c>
      <c r="H137" s="22">
        <f t="shared" si="21"/>
        <v>1042935</v>
      </c>
      <c r="I137" s="22">
        <f t="shared" si="21"/>
        <v>1042935</v>
      </c>
      <c r="J137" s="22">
        <f t="shared" si="21"/>
        <v>1042935</v>
      </c>
      <c r="K137" s="24">
        <f t="shared" si="21"/>
        <v>1042935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" x14ac:dyDescent="0.3">
      <c r="A138" s="68" t="s">
        <v>111</v>
      </c>
      <c r="B138" s="1">
        <v>866</v>
      </c>
      <c r="C138" s="1">
        <v>0</v>
      </c>
      <c r="D138" s="1">
        <v>0</v>
      </c>
      <c r="E138" s="1">
        <v>0</v>
      </c>
      <c r="F138" s="22">
        <v>145385</v>
      </c>
      <c r="G138" s="134">
        <f t="shared" si="22"/>
        <v>145385</v>
      </c>
      <c r="H138" s="22">
        <f t="shared" si="21"/>
        <v>145385</v>
      </c>
      <c r="I138" s="22">
        <f t="shared" si="21"/>
        <v>145385</v>
      </c>
      <c r="J138" s="22">
        <f t="shared" si="21"/>
        <v>145385</v>
      </c>
      <c r="K138" s="24">
        <f t="shared" si="21"/>
        <v>145385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" x14ac:dyDescent="0.3">
      <c r="A139" s="68" t="s">
        <v>112</v>
      </c>
      <c r="B139" s="1">
        <v>181</v>
      </c>
      <c r="C139" s="1">
        <v>17672</v>
      </c>
      <c r="D139" s="1">
        <v>148486</v>
      </c>
      <c r="E139" s="1">
        <v>40885</v>
      </c>
      <c r="F139" s="22">
        <v>197133</v>
      </c>
      <c r="G139" s="134">
        <f t="shared" si="22"/>
        <v>197133</v>
      </c>
      <c r="H139" s="22">
        <f t="shared" si="21"/>
        <v>197133</v>
      </c>
      <c r="I139" s="22">
        <f t="shared" si="21"/>
        <v>197133</v>
      </c>
      <c r="J139" s="22">
        <f t="shared" si="21"/>
        <v>197133</v>
      </c>
      <c r="K139" s="24">
        <f t="shared" si="21"/>
        <v>197133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" x14ac:dyDescent="0.3">
      <c r="A140" s="68" t="s">
        <v>113</v>
      </c>
      <c r="B140" s="1">
        <v>6451</v>
      </c>
      <c r="C140" s="1">
        <v>6842</v>
      </c>
      <c r="D140" s="1">
        <v>7471</v>
      </c>
      <c r="E140" s="1">
        <v>8703</v>
      </c>
      <c r="F140" s="22">
        <v>15682</v>
      </c>
      <c r="G140" s="134">
        <f t="shared" si="22"/>
        <v>15682</v>
      </c>
      <c r="H140" s="22">
        <f t="shared" si="21"/>
        <v>15682</v>
      </c>
      <c r="I140" s="22">
        <f t="shared" si="21"/>
        <v>15682</v>
      </c>
      <c r="J140" s="22">
        <f t="shared" si="21"/>
        <v>15682</v>
      </c>
      <c r="K140" s="24">
        <f t="shared" si="21"/>
        <v>15682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" x14ac:dyDescent="0.3">
      <c r="A141" s="1" t="s">
        <v>114</v>
      </c>
      <c r="B141" s="1">
        <v>41679</v>
      </c>
      <c r="C141" s="1">
        <v>11368</v>
      </c>
      <c r="D141" s="1">
        <v>41520</v>
      </c>
      <c r="E141" s="1">
        <v>42110</v>
      </c>
      <c r="F141" s="22">
        <v>65579</v>
      </c>
      <c r="G141" s="134">
        <f t="shared" si="22"/>
        <v>65579</v>
      </c>
      <c r="H141" s="22">
        <f t="shared" si="21"/>
        <v>65579</v>
      </c>
      <c r="I141" s="22">
        <f t="shared" si="21"/>
        <v>65579</v>
      </c>
      <c r="J141" s="22">
        <f t="shared" si="21"/>
        <v>65579</v>
      </c>
      <c r="K141" s="24">
        <f t="shared" si="21"/>
        <v>65579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" x14ac:dyDescent="0.3">
      <c r="A142" s="68" t="s">
        <v>115</v>
      </c>
      <c r="B142" s="1">
        <v>5241</v>
      </c>
      <c r="C142" s="1">
        <v>0</v>
      </c>
      <c r="D142" s="1">
        <v>0</v>
      </c>
      <c r="E142" s="1">
        <v>0</v>
      </c>
      <c r="F142" s="1">
        <v>0</v>
      </c>
      <c r="G142" s="134">
        <f t="shared" si="22"/>
        <v>0</v>
      </c>
      <c r="H142" s="22">
        <f t="shared" si="21"/>
        <v>0</v>
      </c>
      <c r="I142" s="22">
        <f t="shared" si="21"/>
        <v>0</v>
      </c>
      <c r="J142" s="22">
        <f t="shared" si="21"/>
        <v>0</v>
      </c>
      <c r="K142" s="24">
        <f t="shared" si="21"/>
        <v>0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" x14ac:dyDescent="0.3">
      <c r="A143" s="72"/>
      <c r="B143" s="125">
        <f t="shared" ref="B143:K143" si="23">B128+B131+B134+B135+B136+B137+B138+B139+B140+B141+B142</f>
        <v>5063952</v>
      </c>
      <c r="C143" s="125">
        <f t="shared" si="23"/>
        <v>2791907</v>
      </c>
      <c r="D143" s="125">
        <f t="shared" si="23"/>
        <v>557613</v>
      </c>
      <c r="E143" s="125">
        <f t="shared" si="23"/>
        <v>3879331</v>
      </c>
      <c r="F143" s="77">
        <f t="shared" si="23"/>
        <v>14386220</v>
      </c>
      <c r="G143" s="125">
        <f t="shared" ca="1" si="23"/>
        <v>4557439.581585573</v>
      </c>
      <c r="H143" s="125">
        <f t="shared" ca="1" si="23"/>
        <v>4755194.9254834866</v>
      </c>
      <c r="I143" s="125">
        <f t="shared" ca="1" si="23"/>
        <v>4616387.0386304744</v>
      </c>
      <c r="J143" s="125">
        <f t="shared" ca="1" si="23"/>
        <v>4599917.8031970747</v>
      </c>
      <c r="K143" s="126">
        <f t="shared" ca="1" si="23"/>
        <v>4561431.4477165081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" x14ac:dyDescent="0.3">
      <c r="A144" s="1"/>
      <c r="B144" s="1"/>
      <c r="C144" s="1"/>
      <c r="D144" s="1"/>
      <c r="E144" s="1"/>
      <c r="F144" s="55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" x14ac:dyDescent="0.3">
      <c r="A145" s="66" t="s">
        <v>116</v>
      </c>
      <c r="B145" s="55"/>
      <c r="C145" s="55"/>
      <c r="D145" s="55"/>
      <c r="E145" s="55"/>
      <c r="F145" s="67"/>
      <c r="G145" s="55"/>
      <c r="H145" s="55"/>
      <c r="I145" s="55"/>
      <c r="J145" s="55"/>
      <c r="K145" s="67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" x14ac:dyDescent="0.3">
      <c r="A146" s="68" t="s">
        <v>117</v>
      </c>
      <c r="B146" s="1">
        <v>0</v>
      </c>
      <c r="C146" s="1">
        <v>0</v>
      </c>
      <c r="D146" s="22">
        <v>238655</v>
      </c>
      <c r="E146" s="22">
        <v>51481</v>
      </c>
      <c r="F146" s="69">
        <v>0</v>
      </c>
      <c r="G146" s="78">
        <f>F146</f>
        <v>0</v>
      </c>
      <c r="H146" s="78">
        <f>G146</f>
        <v>0</v>
      </c>
      <c r="I146" s="78">
        <f>H146</f>
        <v>0</v>
      </c>
      <c r="J146" s="78">
        <f>I146</f>
        <v>0</v>
      </c>
      <c r="K146" s="79">
        <f>J146</f>
        <v>0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" x14ac:dyDescent="0.3">
      <c r="A147" s="68"/>
      <c r="B147" s="1"/>
      <c r="C147" s="1"/>
      <c r="D147" s="1"/>
      <c r="E147" s="13"/>
      <c r="F147" s="14"/>
      <c r="G147" s="1"/>
      <c r="H147" s="1"/>
      <c r="I147" s="1"/>
      <c r="J147" s="1"/>
      <c r="K147" s="69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" x14ac:dyDescent="0.3">
      <c r="A148" s="68" t="s">
        <v>118</v>
      </c>
      <c r="B148" s="1"/>
      <c r="C148" s="1"/>
      <c r="D148" s="1"/>
      <c r="E148" s="70">
        <f>E8+((0.15%+0.27%)/2)</f>
        <v>8.2100000000000006E-2</v>
      </c>
      <c r="F148" s="71">
        <f>F8+((0.1%+0.35%)/2)</f>
        <v>0.14975000000000002</v>
      </c>
      <c r="G148" s="70">
        <f>F148</f>
        <v>0.14975000000000002</v>
      </c>
      <c r="H148" s="70">
        <f>G148</f>
        <v>0.14975000000000002</v>
      </c>
      <c r="I148" s="70">
        <f>H148</f>
        <v>0.14975000000000002</v>
      </c>
      <c r="J148" s="70">
        <f>I148</f>
        <v>0.14975000000000002</v>
      </c>
      <c r="K148" s="71">
        <f>J148</f>
        <v>0.14975000000000002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" x14ac:dyDescent="0.3">
      <c r="A149" s="68" t="s">
        <v>119</v>
      </c>
      <c r="B149" s="1">
        <v>205030</v>
      </c>
      <c r="C149" s="1">
        <v>930538</v>
      </c>
      <c r="D149" s="1">
        <v>707427</v>
      </c>
      <c r="E149" s="22">
        <v>68808</v>
      </c>
      <c r="F149" s="24">
        <v>421614</v>
      </c>
      <c r="G149" s="1">
        <f>G148*G150</f>
        <v>0</v>
      </c>
      <c r="H149" s="1">
        <f>G149</f>
        <v>0</v>
      </c>
      <c r="I149" s="1">
        <f>H149</f>
        <v>0</v>
      </c>
      <c r="J149" s="1">
        <f>I149</f>
        <v>0</v>
      </c>
      <c r="K149" s="69">
        <f>J149</f>
        <v>0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" x14ac:dyDescent="0.3">
      <c r="A150" s="68" t="s">
        <v>120</v>
      </c>
      <c r="B150" s="22">
        <f>FS!B110</f>
        <v>8052978</v>
      </c>
      <c r="C150" s="22">
        <f>FS!C110</f>
        <v>8154343</v>
      </c>
      <c r="D150" s="22">
        <f>FS!D110</f>
        <v>6150510</v>
      </c>
      <c r="E150" s="22">
        <f>FS!E110</f>
        <v>0</v>
      </c>
      <c r="F150" s="69">
        <f>FS!F110</f>
        <v>0</v>
      </c>
      <c r="G150" s="22">
        <f>FS!G110</f>
        <v>0</v>
      </c>
      <c r="H150" s="22">
        <f>FS!H110</f>
        <v>0</v>
      </c>
      <c r="I150" s="22">
        <f>FS!I110</f>
        <v>0</v>
      </c>
      <c r="J150" s="22">
        <f>FS!J110</f>
        <v>0</v>
      </c>
      <c r="K150" s="24">
        <f>FS!K110</f>
        <v>0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" x14ac:dyDescent="0.3">
      <c r="A151" s="68"/>
      <c r="B151" s="1"/>
      <c r="C151" s="1"/>
      <c r="D151" s="1"/>
      <c r="E151" s="22"/>
      <c r="F151" s="24"/>
      <c r="G151" s="1"/>
      <c r="H151" s="1"/>
      <c r="I151" s="1"/>
      <c r="J151" s="1"/>
      <c r="K151" s="69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" x14ac:dyDescent="0.3">
      <c r="A152" s="68" t="s">
        <v>121</v>
      </c>
      <c r="B152" s="1">
        <v>158256</v>
      </c>
      <c r="C152" s="1">
        <v>169361</v>
      </c>
      <c r="D152" s="1">
        <v>94709</v>
      </c>
      <c r="E152" s="22">
        <v>160816</v>
      </c>
      <c r="F152" s="24">
        <v>281231</v>
      </c>
      <c r="G152" s="22">
        <f>AVERAGE(E152:F152)</f>
        <v>221023.5</v>
      </c>
      <c r="H152" s="22">
        <f t="shared" ref="H152:K154" si="24">G152</f>
        <v>221023.5</v>
      </c>
      <c r="I152" s="22">
        <f t="shared" si="24"/>
        <v>221023.5</v>
      </c>
      <c r="J152" s="22">
        <f t="shared" si="24"/>
        <v>221023.5</v>
      </c>
      <c r="K152" s="24">
        <f t="shared" si="24"/>
        <v>221023.5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" x14ac:dyDescent="0.3">
      <c r="A153" s="68" t="s">
        <v>122</v>
      </c>
      <c r="B153" s="1">
        <v>6873</v>
      </c>
      <c r="C153" s="1">
        <v>10266</v>
      </c>
      <c r="D153" s="1">
        <v>4783</v>
      </c>
      <c r="E153" s="22">
        <v>7618</v>
      </c>
      <c r="F153" s="24">
        <v>8005</v>
      </c>
      <c r="G153" s="22">
        <f>AVERAGE(E153:F153)</f>
        <v>7811.5</v>
      </c>
      <c r="H153" s="22">
        <f t="shared" si="24"/>
        <v>7811.5</v>
      </c>
      <c r="I153" s="22">
        <f t="shared" si="24"/>
        <v>7811.5</v>
      </c>
      <c r="J153" s="22">
        <f t="shared" si="24"/>
        <v>7811.5</v>
      </c>
      <c r="K153" s="24">
        <f t="shared" si="24"/>
        <v>7811.5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" x14ac:dyDescent="0.3">
      <c r="A154" s="68" t="s">
        <v>123</v>
      </c>
      <c r="B154" s="75">
        <v>0</v>
      </c>
      <c r="C154" s="1">
        <v>412603</v>
      </c>
      <c r="D154" s="1">
        <v>468489</v>
      </c>
      <c r="E154" s="22">
        <v>546047</v>
      </c>
      <c r="F154" s="24">
        <v>647402</v>
      </c>
      <c r="G154" s="22">
        <f>AVERAGE(E154:F154)</f>
        <v>596724.5</v>
      </c>
      <c r="H154" s="22">
        <f t="shared" si="24"/>
        <v>596724.5</v>
      </c>
      <c r="I154" s="22">
        <f t="shared" si="24"/>
        <v>596724.5</v>
      </c>
      <c r="J154" s="22">
        <f t="shared" si="24"/>
        <v>596724.5</v>
      </c>
      <c r="K154" s="24">
        <f t="shared" si="24"/>
        <v>596724.5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" x14ac:dyDescent="0.3">
      <c r="A155" s="135" t="s">
        <v>116</v>
      </c>
      <c r="B155" s="125">
        <f>B152+B153+B149</f>
        <v>370159</v>
      </c>
      <c r="C155" s="125">
        <f>C152+C153+C146+C149+C154</f>
        <v>1522768</v>
      </c>
      <c r="D155" s="125">
        <f>D152+D153+D146+D149+D154</f>
        <v>1514063</v>
      </c>
      <c r="E155" s="125">
        <f>E152+E153+E146+E149+E154</f>
        <v>834770</v>
      </c>
      <c r="F155" s="77">
        <f>F152+F153+F146+F149+F154</f>
        <v>1358252</v>
      </c>
      <c r="G155" s="131">
        <f>G146+G149+G152+G153+G154</f>
        <v>825559.5</v>
      </c>
      <c r="H155" s="131">
        <f>H146+H149+H152+H153+H154</f>
        <v>825559.5</v>
      </c>
      <c r="I155" s="131">
        <f>I146+I149+I152+I153+I154</f>
        <v>825559.5</v>
      </c>
      <c r="J155" s="131">
        <f>J146+J149+J152+J153+J154</f>
        <v>825559.5</v>
      </c>
      <c r="K155" s="132">
        <f>K146+K149+K152+K153+K154</f>
        <v>825559.5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" x14ac:dyDescent="0.3">
      <c r="A156" s="68"/>
      <c r="B156" s="1"/>
      <c r="C156" s="1"/>
      <c r="D156" s="1"/>
      <c r="E156" s="1"/>
      <c r="F156" s="55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" x14ac:dyDescent="0.3">
      <c r="A157" s="136" t="s">
        <v>124</v>
      </c>
      <c r="B157" s="125">
        <v>107012331</v>
      </c>
      <c r="C157" s="125">
        <v>107012331</v>
      </c>
      <c r="D157" s="125">
        <v>154590182</v>
      </c>
      <c r="E157" s="126">
        <v>204118915</v>
      </c>
      <c r="F157" s="126">
        <v>214024662</v>
      </c>
      <c r="G157" s="125">
        <f>F157</f>
        <v>214024662</v>
      </c>
      <c r="H157" s="125">
        <f>G157</f>
        <v>214024662</v>
      </c>
      <c r="I157" s="125">
        <f>H157</f>
        <v>214024662</v>
      </c>
      <c r="J157" s="125">
        <f>I157</f>
        <v>214024662</v>
      </c>
      <c r="K157" s="126">
        <f>J157</f>
        <v>214024662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" x14ac:dyDescent="0.3">
      <c r="A159" s="66" t="s">
        <v>125</v>
      </c>
      <c r="B159" s="55"/>
      <c r="C159" s="55"/>
      <c r="D159" s="55"/>
      <c r="E159" s="55"/>
      <c r="F159" s="67"/>
      <c r="G159" s="55"/>
      <c r="H159" s="55"/>
      <c r="I159" s="55"/>
      <c r="J159" s="55"/>
      <c r="K159" s="67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" x14ac:dyDescent="0.3">
      <c r="A160" s="68" t="s">
        <v>126</v>
      </c>
      <c r="B160" s="22">
        <f>FS!B16</f>
        <v>974075</v>
      </c>
      <c r="C160" s="22">
        <f>FS!C16</f>
        <v>950806</v>
      </c>
      <c r="D160" s="22">
        <f>FS!D16</f>
        <v>1074043</v>
      </c>
      <c r="E160" s="22">
        <f>FS!E16</f>
        <v>858397</v>
      </c>
      <c r="F160" s="24">
        <f>FS!F16</f>
        <v>998905</v>
      </c>
      <c r="G160" s="22">
        <f>G161*G162</f>
        <v>1048850.25</v>
      </c>
      <c r="H160" s="22">
        <f>H161*H162</f>
        <v>1101292.7625</v>
      </c>
      <c r="I160" s="22">
        <f>I161*I162</f>
        <v>1156357.400625</v>
      </c>
      <c r="J160" s="22">
        <f>J161*J162</f>
        <v>1214175.2706562502</v>
      </c>
      <c r="K160" s="24">
        <f>K161*K162</f>
        <v>1274884.0341890627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" x14ac:dyDescent="0.3">
      <c r="A161" s="7" t="s">
        <v>127</v>
      </c>
      <c r="B161" s="70">
        <v>0.26</v>
      </c>
      <c r="C161" s="70">
        <v>0.26</v>
      </c>
      <c r="D161" s="70">
        <v>0.26</v>
      </c>
      <c r="E161" s="70">
        <v>0.26</v>
      </c>
      <c r="F161" s="71">
        <v>0.26</v>
      </c>
      <c r="G161" s="70">
        <v>0.26</v>
      </c>
      <c r="H161" s="70">
        <v>0.26</v>
      </c>
      <c r="I161" s="70">
        <v>0.26</v>
      </c>
      <c r="J161" s="70">
        <v>0.26</v>
      </c>
      <c r="K161" s="71">
        <v>0.26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" x14ac:dyDescent="0.3">
      <c r="A162" s="7" t="s">
        <v>128</v>
      </c>
      <c r="B162" s="78">
        <f>B160/B161</f>
        <v>3746442.3076923075</v>
      </c>
      <c r="C162" s="78">
        <f>C160/C161</f>
        <v>3656946.1538461535</v>
      </c>
      <c r="D162" s="78">
        <f>D160/D161</f>
        <v>4130934.615384615</v>
      </c>
      <c r="E162" s="78">
        <f>E160/E161</f>
        <v>3301526.923076923</v>
      </c>
      <c r="F162" s="79">
        <f>F160/F161</f>
        <v>3841942.3076923075</v>
      </c>
      <c r="G162" s="78">
        <f>F162*(1+G163)</f>
        <v>4034039.423076923</v>
      </c>
      <c r="H162" s="78">
        <f>G162*(1+H163)</f>
        <v>4235741.394230769</v>
      </c>
      <c r="I162" s="78">
        <f>H162*(1+I163)</f>
        <v>4447528.463942308</v>
      </c>
      <c r="J162" s="78">
        <f>I162*(1+J163)</f>
        <v>4669904.8871394238</v>
      </c>
      <c r="K162" s="79">
        <f>J162*(1+K163)</f>
        <v>4903400.131496395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" x14ac:dyDescent="0.3">
      <c r="A163" s="7" t="s">
        <v>129</v>
      </c>
      <c r="B163" s="1"/>
      <c r="C163" s="1"/>
      <c r="D163" s="1"/>
      <c r="E163" s="1"/>
      <c r="F163" s="69"/>
      <c r="G163" s="70">
        <v>0.05</v>
      </c>
      <c r="H163" s="70">
        <v>0.05</v>
      </c>
      <c r="I163" s="70">
        <v>0.05</v>
      </c>
      <c r="J163" s="70">
        <v>0.05</v>
      </c>
      <c r="K163" s="71">
        <v>0.05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" x14ac:dyDescent="0.3">
      <c r="A164" s="137" t="s">
        <v>130</v>
      </c>
      <c r="B164" s="125">
        <f t="shared" ref="B164:K164" si="25">B160</f>
        <v>974075</v>
      </c>
      <c r="C164" s="125">
        <f t="shared" si="25"/>
        <v>950806</v>
      </c>
      <c r="D164" s="125">
        <f t="shared" si="25"/>
        <v>1074043</v>
      </c>
      <c r="E164" s="125">
        <f t="shared" si="25"/>
        <v>858397</v>
      </c>
      <c r="F164" s="126">
        <f t="shared" si="25"/>
        <v>998905</v>
      </c>
      <c r="G164" s="76">
        <f t="shared" si="25"/>
        <v>1048850.25</v>
      </c>
      <c r="H164" s="125">
        <f t="shared" si="25"/>
        <v>1101292.7625</v>
      </c>
      <c r="I164" s="125">
        <f t="shared" si="25"/>
        <v>1156357.400625</v>
      </c>
      <c r="J164" s="125">
        <f t="shared" si="25"/>
        <v>1214175.2706562502</v>
      </c>
      <c r="K164" s="126">
        <f t="shared" si="25"/>
        <v>1274884.0341890627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" x14ac:dyDescent="0.3">
      <c r="A165" s="1"/>
      <c r="B165" s="1"/>
      <c r="C165" s="1"/>
      <c r="D165" s="1"/>
      <c r="E165" s="1"/>
      <c r="F165" s="1"/>
      <c r="G165" s="5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" x14ac:dyDescent="0.3">
      <c r="A166" s="34" t="s">
        <v>131</v>
      </c>
      <c r="B166" s="76">
        <f>-FS!B18</f>
        <v>1042311</v>
      </c>
      <c r="C166" s="76">
        <f>-FS!C18</f>
        <v>1345801</v>
      </c>
      <c r="D166" s="76">
        <f>-FS!D18</f>
        <v>5766</v>
      </c>
      <c r="E166" s="76">
        <f>-FS!E18</f>
        <v>2141651</v>
      </c>
      <c r="F166" s="77">
        <f>-FS!F18</f>
        <v>2987416</v>
      </c>
      <c r="G166" s="76">
        <f ca="1">G167+G170+G173</f>
        <v>6380197.4496936277</v>
      </c>
      <c r="H166" s="76">
        <f ca="1">H167+H170+H173</f>
        <v>7459896.2637570379</v>
      </c>
      <c r="I166" s="76">
        <f ca="1">I167+I170+I173</f>
        <v>8808199.0925565604</v>
      </c>
      <c r="J166" s="76">
        <f ca="1">J167+J170+J173</f>
        <v>10774058.944829844</v>
      </c>
      <c r="K166" s="77">
        <f ca="1">K167+K170+K173</f>
        <v>13175864.675658407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" x14ac:dyDescent="0.3">
      <c r="A167" s="7" t="s">
        <v>132</v>
      </c>
      <c r="B167" s="22"/>
      <c r="C167" s="22"/>
      <c r="D167" s="22"/>
      <c r="E167" s="22"/>
      <c r="F167" s="24"/>
      <c r="G167" s="22">
        <f>G168*G169</f>
        <v>5603565.9860546384</v>
      </c>
      <c r="H167" s="22">
        <f>H168*H169</f>
        <v>6768988.3091037571</v>
      </c>
      <c r="I167" s="22">
        <f>I168*I169</f>
        <v>8260928.5894776443</v>
      </c>
      <c r="J167" s="22">
        <f>J168*J169</f>
        <v>10174572.69723014</v>
      </c>
      <c r="K167" s="24">
        <f>K168*K169</f>
        <v>12526694.503119225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" x14ac:dyDescent="0.3">
      <c r="A168" s="7" t="s">
        <v>133</v>
      </c>
      <c r="B168" s="1"/>
      <c r="C168" s="1"/>
      <c r="D168" s="1"/>
      <c r="E168" s="1"/>
      <c r="F168" s="69"/>
      <c r="G168" s="22">
        <f>FS!G7</f>
        <v>747142131.47395182</v>
      </c>
      <c r="H168" s="22">
        <f>FS!H7</f>
        <v>902531774.54716766</v>
      </c>
      <c r="I168" s="22">
        <f>FS!I7</f>
        <v>1101457145.2636859</v>
      </c>
      <c r="J168" s="22">
        <f>FS!J7</f>
        <v>1356609692.9640186</v>
      </c>
      <c r="K168" s="24">
        <f>FS!K7</f>
        <v>1670225933.7492299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" x14ac:dyDescent="0.3">
      <c r="A169" s="7" t="s">
        <v>134</v>
      </c>
      <c r="B169" s="13"/>
      <c r="C169" s="13"/>
      <c r="D169" s="13"/>
      <c r="E169" s="13"/>
      <c r="F169" s="14"/>
      <c r="G169" s="13">
        <v>7.4999999999999997E-3</v>
      </c>
      <c r="H169" s="13">
        <f>G169</f>
        <v>7.4999999999999997E-3</v>
      </c>
      <c r="I169" s="13">
        <f>H169</f>
        <v>7.4999999999999997E-3</v>
      </c>
      <c r="J169" s="13">
        <f>I169</f>
        <v>7.4999999999999997E-3</v>
      </c>
      <c r="K169" s="14">
        <f>J169</f>
        <v>7.4999999999999997E-3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" x14ac:dyDescent="0.3">
      <c r="A170" s="7" t="s">
        <v>135</v>
      </c>
      <c r="B170" s="1"/>
      <c r="C170" s="1"/>
      <c r="D170" s="1"/>
      <c r="E170" s="22"/>
      <c r="F170" s="22"/>
      <c r="G170" s="134">
        <f ca="1">G171*G172</f>
        <v>665538.83863898879</v>
      </c>
      <c r="H170" s="22">
        <f ca="1">H171*H172</f>
        <v>574260.69840328174</v>
      </c>
      <c r="I170" s="22">
        <f ca="1">I171*I172</f>
        <v>424790.88401641505</v>
      </c>
      <c r="J170" s="22">
        <f ca="1">J171*J172</f>
        <v>470882.64758407889</v>
      </c>
      <c r="K170" s="24">
        <f ca="1">K171*K172</f>
        <v>514136.39252277592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" x14ac:dyDescent="0.3">
      <c r="A171" s="7" t="s">
        <v>136</v>
      </c>
      <c r="B171" s="22"/>
      <c r="C171" s="22"/>
      <c r="D171" s="22"/>
      <c r="E171" s="22"/>
      <c r="F171" s="24"/>
      <c r="G171" s="22">
        <f ca="1">G179+G185</f>
        <v>4436925.5909265922</v>
      </c>
      <c r="H171" s="22">
        <f ca="1">H179+H185</f>
        <v>3828404.6560218786</v>
      </c>
      <c r="I171" s="22">
        <f ca="1">I179+I185</f>
        <v>2831939.2267761012</v>
      </c>
      <c r="J171" s="22">
        <f ca="1">J179+J185</f>
        <v>3139217.6505605243</v>
      </c>
      <c r="K171" s="24">
        <f ca="1">K179+K185</f>
        <v>3427575.9501518398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" x14ac:dyDescent="0.3">
      <c r="A172" s="7" t="s">
        <v>137</v>
      </c>
      <c r="B172" s="70"/>
      <c r="C172" s="70"/>
      <c r="D172" s="70"/>
      <c r="E172" s="70"/>
      <c r="F172" s="71"/>
      <c r="G172" s="70">
        <v>0.15</v>
      </c>
      <c r="H172" s="13">
        <f>G172</f>
        <v>0.15</v>
      </c>
      <c r="I172" s="13">
        <f>H172</f>
        <v>0.15</v>
      </c>
      <c r="J172" s="13">
        <f>I172</f>
        <v>0.15</v>
      </c>
      <c r="K172" s="71">
        <f>J172</f>
        <v>0.15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" x14ac:dyDescent="0.3">
      <c r="A173" s="7" t="s">
        <v>138</v>
      </c>
      <c r="B173" s="22"/>
      <c r="C173" s="22"/>
      <c r="D173" s="22"/>
      <c r="E173" s="22"/>
      <c r="F173" s="22"/>
      <c r="G173" s="134">
        <f>G174*G175</f>
        <v>111092.625</v>
      </c>
      <c r="H173" s="22">
        <f>H174*H175</f>
        <v>116647.25624999999</v>
      </c>
      <c r="I173" s="22">
        <f>I174*I175</f>
        <v>122479.6190625</v>
      </c>
      <c r="J173" s="22">
        <f>J174*J175</f>
        <v>128603.60001562501</v>
      </c>
      <c r="K173" s="24">
        <f>K174*K175</f>
        <v>135033.78001640626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" x14ac:dyDescent="0.3">
      <c r="A174" s="7" t="s">
        <v>139</v>
      </c>
      <c r="B174" s="1"/>
      <c r="C174" s="1"/>
      <c r="D174" s="1"/>
      <c r="E174" s="1"/>
      <c r="F174" s="1"/>
      <c r="G174" s="134">
        <f>G189</f>
        <v>740617.5</v>
      </c>
      <c r="H174" s="22">
        <f>H189</f>
        <v>777648.375</v>
      </c>
      <c r="I174" s="22">
        <f>I189</f>
        <v>816530.79375000007</v>
      </c>
      <c r="J174" s="22">
        <f>J189</f>
        <v>857357.33343750006</v>
      </c>
      <c r="K174" s="24">
        <f>K189</f>
        <v>900225.20010937506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" x14ac:dyDescent="0.3">
      <c r="A175" s="15" t="s">
        <v>140</v>
      </c>
      <c r="B175" s="73"/>
      <c r="C175" s="73"/>
      <c r="D175" s="73"/>
      <c r="E175" s="73"/>
      <c r="F175" s="74"/>
      <c r="G175" s="73">
        <v>0.15</v>
      </c>
      <c r="H175" s="73">
        <f>G175</f>
        <v>0.15</v>
      </c>
      <c r="I175" s="73">
        <f>H175</f>
        <v>0.15</v>
      </c>
      <c r="J175" s="73">
        <f>I175</f>
        <v>0.15</v>
      </c>
      <c r="K175" s="74">
        <f>J175</f>
        <v>0.15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" x14ac:dyDescent="0.3">
      <c r="A177" s="138" t="s">
        <v>141</v>
      </c>
      <c r="B177" s="76">
        <f>FS!B13</f>
        <v>507050</v>
      </c>
      <c r="C177" s="76">
        <f>FS!C13</f>
        <v>557612</v>
      </c>
      <c r="D177" s="76">
        <f>FS!D13</f>
        <v>582840</v>
      </c>
      <c r="E177" s="76">
        <f>FS!E13</f>
        <v>575881</v>
      </c>
      <c r="F177" s="76">
        <f>FS!F13</f>
        <v>1739760</v>
      </c>
      <c r="G177" s="139">
        <f ca="1">G179+G182+G183+G185+G189+G191</f>
        <v>6677469.1409265921</v>
      </c>
      <c r="H177" s="76">
        <f ca="1">H179+H182+H183+H185+H189+H191</f>
        <v>6180975.3835218791</v>
      </c>
      <c r="I177" s="76">
        <f ca="1">I179+I182+I183+I185+I189+I191</f>
        <v>5302138.4906511018</v>
      </c>
      <c r="J177" s="76">
        <f ca="1">J179+J182+J183+J185+J189+J191</f>
        <v>5732926.8776292745</v>
      </c>
      <c r="K177" s="77">
        <f ca="1">K179+K182+K183+K185+K189+K191</f>
        <v>6150970.6385740275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" x14ac:dyDescent="0.3">
      <c r="A178" s="140"/>
      <c r="B178" s="1"/>
      <c r="C178" s="1"/>
      <c r="D178" s="1"/>
      <c r="E178" s="1"/>
      <c r="F178" s="69"/>
      <c r="G178" s="1"/>
      <c r="H178" s="1"/>
      <c r="I178" s="1"/>
      <c r="J178" s="1"/>
      <c r="K178" s="69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" x14ac:dyDescent="0.3">
      <c r="A179" s="140" t="s">
        <v>142</v>
      </c>
      <c r="B179" s="1">
        <v>0</v>
      </c>
      <c r="C179" s="1">
        <v>0</v>
      </c>
      <c r="D179" s="1">
        <v>0</v>
      </c>
      <c r="E179" s="22">
        <v>156107</v>
      </c>
      <c r="F179" s="24">
        <v>195788</v>
      </c>
      <c r="G179" s="1">
        <v>0</v>
      </c>
      <c r="H179" s="1">
        <f t="shared" ref="H179:K180" si="26">G179</f>
        <v>0</v>
      </c>
      <c r="I179" s="1">
        <f t="shared" si="26"/>
        <v>0</v>
      </c>
      <c r="J179" s="1">
        <f t="shared" si="26"/>
        <v>0</v>
      </c>
      <c r="K179" s="69">
        <f t="shared" si="26"/>
        <v>0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" x14ac:dyDescent="0.3">
      <c r="A180" s="140" t="s">
        <v>143</v>
      </c>
      <c r="B180" s="1"/>
      <c r="C180" s="1"/>
      <c r="D180" s="1"/>
      <c r="E180" s="22"/>
      <c r="F180" s="24">
        <v>0</v>
      </c>
      <c r="G180" s="22">
        <f>F180</f>
        <v>0</v>
      </c>
      <c r="H180" s="22">
        <f t="shared" si="26"/>
        <v>0</v>
      </c>
      <c r="I180" s="22">
        <f t="shared" si="26"/>
        <v>0</v>
      </c>
      <c r="J180" s="22">
        <f t="shared" si="26"/>
        <v>0</v>
      </c>
      <c r="K180" s="24">
        <f t="shared" si="26"/>
        <v>0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" x14ac:dyDescent="0.3">
      <c r="A181" s="68"/>
      <c r="B181" s="1"/>
      <c r="C181" s="1"/>
      <c r="D181" s="1"/>
      <c r="E181" s="1"/>
      <c r="F181" s="69"/>
      <c r="G181" s="1"/>
      <c r="H181" s="1"/>
      <c r="I181" s="1"/>
      <c r="J181" s="1"/>
      <c r="K181" s="69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28" x14ac:dyDescent="0.3">
      <c r="A182" s="141" t="s">
        <v>144</v>
      </c>
      <c r="B182" s="1">
        <v>0</v>
      </c>
      <c r="C182" s="1">
        <v>0</v>
      </c>
      <c r="D182" s="1">
        <v>0</v>
      </c>
      <c r="E182" s="22">
        <v>37501</v>
      </c>
      <c r="F182" s="24">
        <v>9170</v>
      </c>
      <c r="G182" s="78">
        <f>F182*(1+G190)</f>
        <v>9628.5</v>
      </c>
      <c r="H182" s="78">
        <f>G182*(1+H190)</f>
        <v>10109.925000000001</v>
      </c>
      <c r="I182" s="78">
        <f>H182*(1+I190)</f>
        <v>10615.421250000001</v>
      </c>
      <c r="J182" s="78">
        <f>I182*(1+J190)</f>
        <v>11146.192312500001</v>
      </c>
      <c r="K182" s="79">
        <f>J182*(1+K190)</f>
        <v>11703.501928125002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" x14ac:dyDescent="0.3">
      <c r="A183" s="141" t="s">
        <v>145</v>
      </c>
      <c r="B183" s="1">
        <v>0</v>
      </c>
      <c r="C183" s="1">
        <v>0</v>
      </c>
      <c r="D183" s="22">
        <v>33828</v>
      </c>
      <c r="E183" s="1">
        <v>0</v>
      </c>
      <c r="F183" s="69">
        <v>0</v>
      </c>
      <c r="G183" s="78">
        <f>F183</f>
        <v>0</v>
      </c>
      <c r="H183" s="78">
        <f>G183</f>
        <v>0</v>
      </c>
      <c r="I183" s="78">
        <f>H183</f>
        <v>0</v>
      </c>
      <c r="J183" s="78">
        <f>I183</f>
        <v>0</v>
      </c>
      <c r="K183" s="79">
        <f>J183</f>
        <v>0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" x14ac:dyDescent="0.3">
      <c r="A184" s="1"/>
      <c r="B184" s="22"/>
      <c r="C184" s="22"/>
      <c r="D184" s="22"/>
      <c r="E184" s="22"/>
      <c r="F184" s="24"/>
      <c r="G184" s="78"/>
      <c r="H184" s="78"/>
      <c r="I184" s="78"/>
      <c r="J184" s="78"/>
      <c r="K184" s="79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" x14ac:dyDescent="0.3">
      <c r="A185" s="1" t="s">
        <v>146</v>
      </c>
      <c r="B185" s="22">
        <v>92118</v>
      </c>
      <c r="C185" s="22">
        <v>35021</v>
      </c>
      <c r="D185" s="22">
        <v>28475</v>
      </c>
      <c r="E185" s="22">
        <v>29681</v>
      </c>
      <c r="F185" s="22">
        <v>115471</v>
      </c>
      <c r="G185" s="134">
        <f ca="1">G186*G187</f>
        <v>4436925.5909265913</v>
      </c>
      <c r="H185" s="22">
        <f ca="1">H186*H187</f>
        <v>3828404.6560218786</v>
      </c>
      <c r="I185" s="22">
        <f ca="1">I186*I187</f>
        <v>2831939.2267761016</v>
      </c>
      <c r="J185" s="22">
        <f ca="1">J186*J187</f>
        <v>3139217.6505605257</v>
      </c>
      <c r="K185" s="24">
        <f ca="1">K186*K187</f>
        <v>3427575.9501518374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" x14ac:dyDescent="0.3">
      <c r="A186" s="134" t="s">
        <v>147</v>
      </c>
      <c r="B186" s="22">
        <f>FS!B79</f>
        <v>1973413</v>
      </c>
      <c r="C186" s="22">
        <f>FS!C79</f>
        <v>2319546</v>
      </c>
      <c r="D186" s="22">
        <f>FS!D79</f>
        <v>2542876</v>
      </c>
      <c r="E186" s="22">
        <f>FS!E79</f>
        <v>4973417</v>
      </c>
      <c r="F186" s="24">
        <f>FS!F79</f>
        <v>10801097</v>
      </c>
      <c r="G186" s="22">
        <f ca="1">FS!G79</f>
        <v>27730784.943291202</v>
      </c>
      <c r="H186" s="22">
        <f ca="1">FS!H79</f>
        <v>31903372.133515641</v>
      </c>
      <c r="I186" s="22">
        <f ca="1">FS!I79</f>
        <v>35399240.33470127</v>
      </c>
      <c r="J186" s="22">
        <f ca="1">FS!J79</f>
        <v>39240220.632006578</v>
      </c>
      <c r="K186" s="24">
        <f ca="1">FS!K79</f>
        <v>42844699.376897983</v>
      </c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1:25" ht="14" x14ac:dyDescent="0.3">
      <c r="A187" s="68" t="s">
        <v>148</v>
      </c>
      <c r="B187" s="1"/>
      <c r="C187" s="142"/>
      <c r="D187" s="142"/>
      <c r="E187" s="142"/>
      <c r="F187" s="143"/>
      <c r="G187" s="70">
        <f>G7-2%</f>
        <v>0.16</v>
      </c>
      <c r="H187" s="70">
        <f>H7-2%</f>
        <v>0.12000000000000001</v>
      </c>
      <c r="I187" s="70">
        <f>I7-2%</f>
        <v>0.08</v>
      </c>
      <c r="J187" s="70">
        <f>J7-2%</f>
        <v>0.08</v>
      </c>
      <c r="K187" s="71">
        <f>K7-2%</f>
        <v>0.08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" x14ac:dyDescent="0.3">
      <c r="A188" s="68"/>
      <c r="B188" s="1"/>
      <c r="C188" s="1"/>
      <c r="D188" s="1"/>
      <c r="E188" s="1"/>
      <c r="F188" s="69"/>
      <c r="G188" s="78"/>
      <c r="H188" s="78"/>
      <c r="I188" s="78"/>
      <c r="J188" s="78"/>
      <c r="K188" s="79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" x14ac:dyDescent="0.3">
      <c r="A189" s="68" t="s">
        <v>138</v>
      </c>
      <c r="B189" s="22">
        <v>589329</v>
      </c>
      <c r="C189" s="22">
        <v>613657</v>
      </c>
      <c r="D189" s="22">
        <v>760439</v>
      </c>
      <c r="E189" s="22">
        <v>832308</v>
      </c>
      <c r="F189" s="24">
        <v>705350</v>
      </c>
      <c r="G189" s="22">
        <f>F189*(1+G190)</f>
        <v>740617.5</v>
      </c>
      <c r="H189" s="22">
        <f>G189*(1+H190)</f>
        <v>777648.375</v>
      </c>
      <c r="I189" s="22">
        <f>H189*(1+I190)</f>
        <v>816530.79375000007</v>
      </c>
      <c r="J189" s="22">
        <f>I189*(1+J190)</f>
        <v>857357.33343750006</v>
      </c>
      <c r="K189" s="24">
        <f>J189*(1+K190)</f>
        <v>900225.20010937506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" x14ac:dyDescent="0.3">
      <c r="A190" s="1" t="s">
        <v>129</v>
      </c>
      <c r="B190" s="1"/>
      <c r="C190" s="1"/>
      <c r="D190" s="1"/>
      <c r="E190" s="1"/>
      <c r="F190" s="69"/>
      <c r="G190" s="70">
        <v>0.05</v>
      </c>
      <c r="H190" s="70">
        <f>G190</f>
        <v>0.05</v>
      </c>
      <c r="I190" s="70">
        <f>H190</f>
        <v>0.05</v>
      </c>
      <c r="J190" s="70">
        <f>I190</f>
        <v>0.05</v>
      </c>
      <c r="K190" s="71">
        <f>J190</f>
        <v>0.05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" x14ac:dyDescent="0.3">
      <c r="A191" s="68" t="s">
        <v>149</v>
      </c>
      <c r="B191" s="22">
        <v>414932</v>
      </c>
      <c r="C191" s="22">
        <v>522591</v>
      </c>
      <c r="D191" s="22">
        <v>520537</v>
      </c>
      <c r="E191" s="22">
        <v>352592</v>
      </c>
      <c r="F191" s="24">
        <v>1419331</v>
      </c>
      <c r="G191" s="134">
        <f>F191*(1+G190)</f>
        <v>1490297.55</v>
      </c>
      <c r="H191" s="22">
        <f>G191*(1+H190)</f>
        <v>1564812.4275000002</v>
      </c>
      <c r="I191" s="22">
        <f>H191*(1+I190)</f>
        <v>1643053.0488750003</v>
      </c>
      <c r="J191" s="22">
        <f>I191*(1+J190)</f>
        <v>1725205.7013187504</v>
      </c>
      <c r="K191" s="24">
        <f>J191*(1+K190)</f>
        <v>1811465.9863846879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" x14ac:dyDescent="0.3">
      <c r="A192" s="72"/>
      <c r="B192" s="17"/>
      <c r="C192" s="17"/>
      <c r="D192" s="17"/>
      <c r="E192" s="17"/>
      <c r="F192" s="18"/>
      <c r="G192" s="144"/>
      <c r="H192" s="28"/>
      <c r="I192" s="28"/>
      <c r="J192" s="28"/>
      <c r="K192" s="29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" x14ac:dyDescent="0.3">
      <c r="A193" s="1"/>
      <c r="B193" s="1"/>
      <c r="C193" s="1"/>
      <c r="D193" s="1"/>
      <c r="E193" s="1"/>
      <c r="F193" s="1"/>
      <c r="G193" s="78"/>
      <c r="H193" s="78"/>
      <c r="I193" s="78"/>
      <c r="J193" s="78"/>
      <c r="K193" s="78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" x14ac:dyDescent="0.3">
      <c r="A194" s="34" t="s">
        <v>39</v>
      </c>
      <c r="B194" s="55"/>
      <c r="C194" s="55"/>
      <c r="D194" s="55"/>
      <c r="E194" s="55"/>
      <c r="F194" s="67"/>
      <c r="G194" s="117"/>
      <c r="H194" s="117"/>
      <c r="I194" s="117"/>
      <c r="J194" s="117"/>
      <c r="K194" s="118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" x14ac:dyDescent="0.3">
      <c r="A195" s="7" t="s">
        <v>150</v>
      </c>
      <c r="B195" s="22">
        <f>FS!B41</f>
        <v>955284</v>
      </c>
      <c r="C195" s="22">
        <f>FS!C41</f>
        <v>1071471</v>
      </c>
      <c r="D195" s="22">
        <f>FS!D41</f>
        <v>1188358</v>
      </c>
      <c r="E195" s="22">
        <f>FS!E41</f>
        <v>1311157</v>
      </c>
      <c r="F195" s="24">
        <f>FS!F41</f>
        <v>2003584</v>
      </c>
      <c r="G195" s="134">
        <f>FS!G41</f>
        <v>1872339.2414327562</v>
      </c>
      <c r="H195" s="22">
        <f>FS!H41</f>
        <v>2125720.584652835</v>
      </c>
      <c r="I195" s="22">
        <f>FS!I41</f>
        <v>2413391.7102324842</v>
      </c>
      <c r="J195" s="22">
        <f>FS!J41</f>
        <v>2739993.0118144401</v>
      </c>
      <c r="K195" s="24">
        <f>FS!K41</f>
        <v>3110792.861747568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" x14ac:dyDescent="0.3">
      <c r="A196" s="7" t="s">
        <v>151</v>
      </c>
      <c r="B196" s="22">
        <v>107042</v>
      </c>
      <c r="C196" s="22">
        <v>113334</v>
      </c>
      <c r="D196" s="22">
        <v>122408</v>
      </c>
      <c r="E196" s="22">
        <v>126236</v>
      </c>
      <c r="F196" s="24">
        <v>138600</v>
      </c>
      <c r="G196" s="22">
        <f>G195*G200</f>
        <v>182098.88810949615</v>
      </c>
      <c r="H196" s="22">
        <f>H195*H200</f>
        <v>206742.10438517449</v>
      </c>
      <c r="I196" s="22">
        <f>I195*I200</f>
        <v>234720.25650101408</v>
      </c>
      <c r="J196" s="22">
        <f>J195*J200</f>
        <v>266484.65718071023</v>
      </c>
      <c r="K196" s="24">
        <f>K195*K200</f>
        <v>302547.69473811414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" x14ac:dyDescent="0.3">
      <c r="A197" s="7" t="s">
        <v>152</v>
      </c>
      <c r="B197" s="22">
        <v>718049</v>
      </c>
      <c r="C197" s="22">
        <v>851536</v>
      </c>
      <c r="D197" s="22">
        <v>966315</v>
      </c>
      <c r="E197" s="22">
        <v>1123826</v>
      </c>
      <c r="F197" s="24">
        <v>1539280</v>
      </c>
      <c r="G197" s="22">
        <f>G195*G201</f>
        <v>1492230.3427077672</v>
      </c>
      <c r="H197" s="22">
        <f>H195*H201</f>
        <v>1694172.0209368255</v>
      </c>
      <c r="I197" s="22">
        <f>I195*I201</f>
        <v>1923442.2155743958</v>
      </c>
      <c r="J197" s="22">
        <f>J195*J201</f>
        <v>2183739.2607912142</v>
      </c>
      <c r="K197" s="24">
        <f>K195*K201</f>
        <v>2479261.9817262772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" x14ac:dyDescent="0.3">
      <c r="A198" s="7" t="s">
        <v>153</v>
      </c>
      <c r="B198" s="22">
        <v>129327</v>
      </c>
      <c r="C198" s="22">
        <v>110498</v>
      </c>
      <c r="D198" s="22">
        <v>157368</v>
      </c>
      <c r="E198" s="22">
        <v>148414</v>
      </c>
      <c r="F198" s="24">
        <v>180319</v>
      </c>
      <c r="G198" s="22">
        <f>G195*G202</f>
        <v>214991.04865028113</v>
      </c>
      <c r="H198" s="22">
        <f>H195*H202</f>
        <v>244085.520144462</v>
      </c>
      <c r="I198" s="22">
        <f>I195*I202</f>
        <v>277117.31031697849</v>
      </c>
      <c r="J198" s="22">
        <f>J195*J202</f>
        <v>314619.25161257421</v>
      </c>
      <c r="K198" s="24">
        <f>K195*K202</f>
        <v>357196.28402871237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" x14ac:dyDescent="0.3">
      <c r="A199" s="37"/>
      <c r="B199" s="1"/>
      <c r="C199" s="1"/>
      <c r="D199" s="1"/>
      <c r="E199" s="1"/>
      <c r="F199" s="69"/>
      <c r="G199" s="119"/>
      <c r="H199" s="78"/>
      <c r="I199" s="78"/>
      <c r="J199" s="78"/>
      <c r="K199" s="79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" x14ac:dyDescent="0.3">
      <c r="A200" s="7" t="s">
        <v>151</v>
      </c>
      <c r="B200" s="70">
        <f>B196/B195</f>
        <v>0.11205254144317292</v>
      </c>
      <c r="C200" s="70">
        <f>C196/C195</f>
        <v>0.10577421134123088</v>
      </c>
      <c r="D200" s="70">
        <f>D196/D195</f>
        <v>0.10300599650946937</v>
      </c>
      <c r="E200" s="70">
        <f>E196/E195</f>
        <v>9.627832517387315E-2</v>
      </c>
      <c r="F200" s="71">
        <f>F196/F195</f>
        <v>6.9176036542515806E-2</v>
      </c>
      <c r="G200" s="70">
        <f>AVERAGE(B200:F200)</f>
        <v>9.7257422202052426E-2</v>
      </c>
      <c r="H200" s="70">
        <f t="shared" ref="H200:K202" si="27">G200</f>
        <v>9.7257422202052426E-2</v>
      </c>
      <c r="I200" s="70">
        <f t="shared" si="27"/>
        <v>9.7257422202052426E-2</v>
      </c>
      <c r="J200" s="70">
        <f t="shared" si="27"/>
        <v>9.7257422202052426E-2</v>
      </c>
      <c r="K200" s="71">
        <f t="shared" si="27"/>
        <v>9.7257422202052426E-2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" x14ac:dyDescent="0.3">
      <c r="A201" s="7" t="s">
        <v>152</v>
      </c>
      <c r="B201" s="70">
        <f>B197/B195</f>
        <v>0.75166023925869163</v>
      </c>
      <c r="C201" s="70">
        <f>C197/C195</f>
        <v>0.79473546180904564</v>
      </c>
      <c r="D201" s="70">
        <f>D197/D195</f>
        <v>0.81315142406581187</v>
      </c>
      <c r="E201" s="70">
        <f>E197/E195</f>
        <v>0.85712542433896166</v>
      </c>
      <c r="F201" s="71">
        <f>F197/F195</f>
        <v>0.76826327221618862</v>
      </c>
      <c r="G201" s="70">
        <f>AVERAGE(B201:F201)</f>
        <v>0.79698716433773986</v>
      </c>
      <c r="H201" s="70">
        <f t="shared" si="27"/>
        <v>0.79698716433773986</v>
      </c>
      <c r="I201" s="70">
        <f t="shared" si="27"/>
        <v>0.79698716433773986</v>
      </c>
      <c r="J201" s="70">
        <f t="shared" si="27"/>
        <v>0.79698716433773986</v>
      </c>
      <c r="K201" s="71">
        <f t="shared" si="27"/>
        <v>0.79698716433773986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" x14ac:dyDescent="0.3">
      <c r="A202" s="7" t="s">
        <v>153</v>
      </c>
      <c r="B202" s="70">
        <f>B198/B195</f>
        <v>0.13538068260328864</v>
      </c>
      <c r="C202" s="70">
        <f>C198/C195</f>
        <v>0.10312738282230691</v>
      </c>
      <c r="D202" s="70">
        <f>D198/D195</f>
        <v>0.13242474069261956</v>
      </c>
      <c r="E202" s="70">
        <f>E198/E195</f>
        <v>0.11319315688357687</v>
      </c>
      <c r="F202" s="71">
        <f>F198/F195</f>
        <v>8.9998223184054177E-2</v>
      </c>
      <c r="G202" s="70">
        <f>AVERAGE(B202:F202)</f>
        <v>0.11482483723716923</v>
      </c>
      <c r="H202" s="70">
        <f t="shared" si="27"/>
        <v>0.11482483723716923</v>
      </c>
      <c r="I202" s="70">
        <f t="shared" si="27"/>
        <v>0.11482483723716923</v>
      </c>
      <c r="J202" s="70">
        <f t="shared" si="27"/>
        <v>0.11482483723716923</v>
      </c>
      <c r="K202" s="71">
        <f t="shared" si="27"/>
        <v>0.11482483723716923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" x14ac:dyDescent="0.3">
      <c r="A203" s="37"/>
      <c r="B203" s="1"/>
      <c r="C203" s="1"/>
      <c r="D203" s="1"/>
      <c r="E203" s="1"/>
      <c r="F203" s="69"/>
      <c r="G203" s="78"/>
      <c r="H203" s="78"/>
      <c r="I203" s="78"/>
      <c r="J203" s="78"/>
      <c r="K203" s="79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" x14ac:dyDescent="0.3">
      <c r="A204" s="15" t="s">
        <v>154</v>
      </c>
      <c r="B204" s="28">
        <f>FS!B60</f>
        <v>1051</v>
      </c>
      <c r="C204" s="28">
        <f>FS!C60</f>
        <v>3152</v>
      </c>
      <c r="D204" s="28">
        <f>FS!D60</f>
        <v>3152</v>
      </c>
      <c r="E204" s="28">
        <f>FS!E60</f>
        <v>3152</v>
      </c>
      <c r="F204" s="28">
        <f>FS!F60</f>
        <v>3152</v>
      </c>
      <c r="G204" s="144">
        <f>FS!G60</f>
        <v>2736.3021249407216</v>
      </c>
      <c r="H204" s="28">
        <f>FS!H60</f>
        <v>2740.8042498814425</v>
      </c>
      <c r="I204" s="28">
        <f>FS!I60</f>
        <v>2745.3063748221634</v>
      </c>
      <c r="J204" s="28">
        <f>FS!J60</f>
        <v>2749.8084997628848</v>
      </c>
      <c r="K204" s="29">
        <f>FS!K60</f>
        <v>2754.3106247036058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" x14ac:dyDescent="0.3">
      <c r="A205" s="1"/>
      <c r="B205" s="1"/>
      <c r="C205" s="1"/>
      <c r="D205" s="1"/>
      <c r="E205" s="1"/>
      <c r="F205" s="1"/>
      <c r="G205" s="13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" x14ac:dyDescent="0.3">
      <c r="A206" s="82" t="s">
        <v>155</v>
      </c>
      <c r="B206" s="55"/>
      <c r="C206" s="55"/>
      <c r="D206" s="55"/>
      <c r="E206" s="55"/>
      <c r="F206" s="67"/>
      <c r="G206" s="1"/>
      <c r="H206" s="55"/>
      <c r="I206" s="55"/>
      <c r="J206" s="55"/>
      <c r="K206" s="67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" x14ac:dyDescent="0.3">
      <c r="A207" s="1"/>
      <c r="B207" s="1"/>
      <c r="C207" s="1"/>
      <c r="D207" s="1"/>
      <c r="E207" s="1"/>
      <c r="F207" s="69"/>
      <c r="G207" s="1"/>
      <c r="H207" s="1"/>
      <c r="I207" s="1"/>
      <c r="J207" s="1"/>
      <c r="K207" s="69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" x14ac:dyDescent="0.3">
      <c r="A208" s="145" t="s">
        <v>156</v>
      </c>
      <c r="B208" s="22">
        <f>FS!B74</f>
        <v>14884111</v>
      </c>
      <c r="C208" s="22">
        <f>FS!C74</f>
        <v>17413439</v>
      </c>
      <c r="D208" s="22">
        <f>FS!D74</f>
        <v>13510164</v>
      </c>
      <c r="E208" s="22">
        <f>FS!E74</f>
        <v>36628824</v>
      </c>
      <c r="F208" s="24">
        <f>FS!F74</f>
        <v>42921597</v>
      </c>
      <c r="G208" s="22">
        <f>G217*G214/365</f>
        <v>78692995.254317462</v>
      </c>
      <c r="H208" s="22">
        <f>H217*H214/365</f>
        <v>94991641.719747841</v>
      </c>
      <c r="I208" s="22">
        <f>I217*I214/365</f>
        <v>116468262.50361453</v>
      </c>
      <c r="J208" s="22">
        <f>J217*J214/365</f>
        <v>144013274.04733497</v>
      </c>
      <c r="K208" s="24">
        <f>K217*K214/365</f>
        <v>177897603.04396802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" x14ac:dyDescent="0.3">
      <c r="A209" s="134" t="s">
        <v>157</v>
      </c>
      <c r="B209" s="22">
        <f>FS!B105</f>
        <v>33668689</v>
      </c>
      <c r="C209" s="22">
        <f>FS!C105</f>
        <v>38401649</v>
      </c>
      <c r="D209" s="22">
        <f>FS!D105</f>
        <v>38545390</v>
      </c>
      <c r="E209" s="22">
        <f>FS!E105</f>
        <v>60825752</v>
      </c>
      <c r="F209" s="24">
        <f>FS!F105</f>
        <v>73703492</v>
      </c>
      <c r="G209" s="22">
        <f>G218*G214/365</f>
        <v>161473201.42703283</v>
      </c>
      <c r="H209" s="22">
        <f>H218*H214/365</f>
        <v>194917024.66943306</v>
      </c>
      <c r="I209" s="22">
        <f>I218*I214/365</f>
        <v>238985733.74065173</v>
      </c>
      <c r="J209" s="22">
        <f>J218*J214/365</f>
        <v>295506408.58515239</v>
      </c>
      <c r="K209" s="24">
        <f>K218*K214/365</f>
        <v>365034974.16600049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" x14ac:dyDescent="0.3">
      <c r="A210" s="49" t="s">
        <v>158</v>
      </c>
      <c r="B210" s="22">
        <f>FS!B75</f>
        <v>3264207</v>
      </c>
      <c r="C210" s="22">
        <f>FS!C75</f>
        <v>4544062</v>
      </c>
      <c r="D210" s="22">
        <f>FS!D75</f>
        <v>3971807</v>
      </c>
      <c r="E210" s="22">
        <f>FS!E75</f>
        <v>4667468</v>
      </c>
      <c r="F210" s="24">
        <f>FS!F75</f>
        <v>5910061</v>
      </c>
      <c r="G210" s="22">
        <f>G219*G213/365</f>
        <v>14551843.350015931</v>
      </c>
      <c r="H210" s="22">
        <f>H219*H213/365</f>
        <v>17578316.692852922</v>
      </c>
      <c r="I210" s="22">
        <f>I219*I213/365</f>
        <v>21452721.188420497</v>
      </c>
      <c r="J210" s="22">
        <f>J219*J213/365</f>
        <v>26422244.051718105</v>
      </c>
      <c r="K210" s="24">
        <f>K219*K213/365</f>
        <v>32530445.176615283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" x14ac:dyDescent="0.3">
      <c r="A211" s="22" t="s">
        <v>159</v>
      </c>
      <c r="B211" s="22">
        <f>FS!B78</f>
        <v>10797182</v>
      </c>
      <c r="C211" s="22">
        <f>FS!C78</f>
        <v>7922392</v>
      </c>
      <c r="D211" s="22">
        <f>FS!D78</f>
        <v>7616623</v>
      </c>
      <c r="E211" s="22">
        <f>FS!E78</f>
        <v>8189480</v>
      </c>
      <c r="F211" s="24">
        <f>FS!F78</f>
        <v>8216986</v>
      </c>
      <c r="G211" s="22">
        <f>G220*G213/365</f>
        <v>29369864.86729141</v>
      </c>
      <c r="H211" s="22">
        <f>H220*H213/365</f>
        <v>35478170.939970843</v>
      </c>
      <c r="I211" s="22">
        <f>I220*I213/365</f>
        <v>43297849.432862364</v>
      </c>
      <c r="J211" s="22">
        <f>J220*J213/365</f>
        <v>53327796.253984928</v>
      </c>
      <c r="K211" s="24">
        <f>K220*K213/365</f>
        <v>65655927.976229668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" x14ac:dyDescent="0.3">
      <c r="A212" s="22"/>
      <c r="B212" s="1"/>
      <c r="C212" s="110"/>
      <c r="D212" s="146"/>
      <c r="E212" s="22"/>
      <c r="F212" s="24"/>
      <c r="G212" s="22"/>
      <c r="H212" s="22"/>
      <c r="I212" s="22"/>
      <c r="J212" s="22"/>
      <c r="K212" s="69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" x14ac:dyDescent="0.3">
      <c r="A213" s="22" t="s">
        <v>160</v>
      </c>
      <c r="B213" s="22">
        <f>FS!B7</f>
        <v>186203555</v>
      </c>
      <c r="C213" s="22">
        <f>FS!C7</f>
        <v>199718601</v>
      </c>
      <c r="D213" s="22">
        <f>FS!D7</f>
        <v>165139915</v>
      </c>
      <c r="E213" s="22">
        <f>FS!E7</f>
        <v>249209984</v>
      </c>
      <c r="F213" s="24">
        <f>FS!F7</f>
        <v>412699059</v>
      </c>
      <c r="G213" s="134">
        <f>FS!G7</f>
        <v>747142131.47395182</v>
      </c>
      <c r="H213" s="22">
        <f>FS!H7</f>
        <v>902531774.54716766</v>
      </c>
      <c r="I213" s="22">
        <f>FS!I7</f>
        <v>1101457145.2636859</v>
      </c>
      <c r="J213" s="22">
        <f>FS!J7</f>
        <v>1356609692.9640186</v>
      </c>
      <c r="K213" s="24">
        <f>FS!K7</f>
        <v>1670225933.7492299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" x14ac:dyDescent="0.3">
      <c r="A214" s="22" t="s">
        <v>161</v>
      </c>
      <c r="B214" s="22">
        <f>-FS!B8</f>
        <v>170779180</v>
      </c>
      <c r="C214" s="22">
        <f>-FS!C8</f>
        <v>184621127</v>
      </c>
      <c r="D214" s="22">
        <f>-FS!D8</f>
        <v>157590280</v>
      </c>
      <c r="E214" s="22">
        <f>-FS!E8</f>
        <v>225543999</v>
      </c>
      <c r="F214" s="22">
        <f>-FS!F8</f>
        <v>379106173</v>
      </c>
      <c r="G214" s="134">
        <f>-FS!G8</f>
        <v>724848596.6215694</v>
      </c>
      <c r="H214" s="22">
        <f>-FS!H8</f>
        <v>874976965.46962297</v>
      </c>
      <c r="I214" s="22">
        <f>-FS!I8</f>
        <v>1072800143.8230395</v>
      </c>
      <c r="J214" s="22">
        <f>-FS!J8</f>
        <v>1326519841.4513397</v>
      </c>
      <c r="K214" s="24">
        <f>-FS!K8</f>
        <v>1638631589.6609173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" x14ac:dyDescent="0.3">
      <c r="A215" s="22"/>
      <c r="B215" s="1"/>
      <c r="C215" s="110"/>
      <c r="D215" s="146"/>
      <c r="E215" s="22"/>
      <c r="F215" s="24"/>
      <c r="G215" s="22"/>
      <c r="H215" s="22"/>
      <c r="I215" s="22"/>
      <c r="J215" s="22"/>
      <c r="K215" s="69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" x14ac:dyDescent="0.3">
      <c r="A216" s="147" t="s">
        <v>162</v>
      </c>
      <c r="B216" s="1"/>
      <c r="C216" s="110"/>
      <c r="D216" s="146"/>
      <c r="E216" s="22"/>
      <c r="F216" s="24"/>
      <c r="G216" s="22"/>
      <c r="H216" s="22"/>
      <c r="I216" s="22"/>
      <c r="J216" s="22"/>
      <c r="K216" s="69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" x14ac:dyDescent="0.3">
      <c r="A217" s="145" t="s">
        <v>156</v>
      </c>
      <c r="B217" s="78">
        <f>B208/B214*365</f>
        <v>31.811257759874476</v>
      </c>
      <c r="C217" s="78">
        <f>C208/C214*365</f>
        <v>34.426749193227494</v>
      </c>
      <c r="D217" s="78">
        <f>D208/D214*365</f>
        <v>31.291332561881354</v>
      </c>
      <c r="E217" s="78">
        <f>E208/E214*365</f>
        <v>59.276774462086216</v>
      </c>
      <c r="F217" s="79">
        <f>F208/F214*365</f>
        <v>41.324526005541991</v>
      </c>
      <c r="G217" s="22">
        <f>AVERAGE(B217:F217)</f>
        <v>39.626127996522307</v>
      </c>
      <c r="H217" s="22">
        <f t="shared" ref="H217:K220" si="28">G217</f>
        <v>39.626127996522307</v>
      </c>
      <c r="I217" s="22">
        <f t="shared" si="28"/>
        <v>39.626127996522307</v>
      </c>
      <c r="J217" s="22">
        <f t="shared" si="28"/>
        <v>39.626127996522307</v>
      </c>
      <c r="K217" s="24">
        <f t="shared" si="28"/>
        <v>39.626127996522307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" x14ac:dyDescent="0.3">
      <c r="A218" s="134" t="s">
        <v>157</v>
      </c>
      <c r="B218" s="78">
        <f>B209/B214*365</f>
        <v>71.958838805760749</v>
      </c>
      <c r="C218" s="78">
        <f>C209/C214*365</f>
        <v>75.920898722495608</v>
      </c>
      <c r="D218" s="78">
        <f>D209/D214*365</f>
        <v>89.276238039554215</v>
      </c>
      <c r="E218" s="78">
        <f>E209/E214*365</f>
        <v>98.434893317644864</v>
      </c>
      <c r="F218" s="79">
        <f>F209/F214*365</f>
        <v>70.961056548134863</v>
      </c>
      <c r="G218" s="22">
        <f>AVERAGE(B218:F218)</f>
        <v>81.310385086718071</v>
      </c>
      <c r="H218" s="22">
        <f t="shared" si="28"/>
        <v>81.310385086718071</v>
      </c>
      <c r="I218" s="22">
        <f t="shared" si="28"/>
        <v>81.310385086718071</v>
      </c>
      <c r="J218" s="22">
        <f t="shared" si="28"/>
        <v>81.310385086718071</v>
      </c>
      <c r="K218" s="24">
        <f t="shared" si="28"/>
        <v>81.310385086718071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" x14ac:dyDescent="0.3">
      <c r="A219" s="134" t="s">
        <v>163</v>
      </c>
      <c r="B219" s="78">
        <f>B210/B213*365</f>
        <v>6.3985650273970336</v>
      </c>
      <c r="C219" s="78">
        <f>C210/C213*365</f>
        <v>8.3045976774091272</v>
      </c>
      <c r="D219" s="78">
        <f>D210/D213*365</f>
        <v>8.7786744652254427</v>
      </c>
      <c r="E219" s="78">
        <f>E210/E213*365</f>
        <v>6.8361058118763012</v>
      </c>
      <c r="F219" s="79">
        <f>F210/F213*365</f>
        <v>5.2269861487617302</v>
      </c>
      <c r="G219" s="22">
        <f>AVERAGE(B219:F219)</f>
        <v>7.1089858261339272</v>
      </c>
      <c r="H219" s="22">
        <f t="shared" si="28"/>
        <v>7.1089858261339272</v>
      </c>
      <c r="I219" s="22">
        <f t="shared" si="28"/>
        <v>7.1089858261339272</v>
      </c>
      <c r="J219" s="22">
        <f t="shared" si="28"/>
        <v>7.1089858261339272</v>
      </c>
      <c r="K219" s="24">
        <f t="shared" si="28"/>
        <v>7.1089858261339272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" x14ac:dyDescent="0.3">
      <c r="A220" s="148" t="s">
        <v>164</v>
      </c>
      <c r="B220" s="80">
        <f>B211/B213*365</f>
        <v>21.164856009328073</v>
      </c>
      <c r="C220" s="80">
        <f>C211/C213*365</f>
        <v>14.478736910439302</v>
      </c>
      <c r="D220" s="80">
        <f>D211/D213*365</f>
        <v>16.83461805705786</v>
      </c>
      <c r="E220" s="80">
        <f>E211/E213*365</f>
        <v>11.994544327726453</v>
      </c>
      <c r="F220" s="81">
        <f>F211/F213*365</f>
        <v>7.2672806603128217</v>
      </c>
      <c r="G220" s="28">
        <f>AVERAGE(B220:F220)</f>
        <v>14.348007192972901</v>
      </c>
      <c r="H220" s="28">
        <f t="shared" si="28"/>
        <v>14.348007192972901</v>
      </c>
      <c r="I220" s="28">
        <f t="shared" si="28"/>
        <v>14.348007192972901</v>
      </c>
      <c r="J220" s="28">
        <f t="shared" si="28"/>
        <v>14.348007192972901</v>
      </c>
      <c r="K220" s="29">
        <f t="shared" si="28"/>
        <v>14.348007192972901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" x14ac:dyDescent="0.3">
      <c r="A221" s="149"/>
      <c r="B221" s="22"/>
      <c r="C221" s="22"/>
      <c r="D221" s="22"/>
      <c r="E221" s="22"/>
      <c r="F221" s="28"/>
      <c r="G221" s="28"/>
      <c r="H221" s="22"/>
      <c r="I221" s="22"/>
      <c r="J221" s="22"/>
      <c r="K221" s="22"/>
      <c r="L221" s="149"/>
      <c r="M221" s="22"/>
      <c r="N221" s="22"/>
      <c r="O221" s="22"/>
      <c r="P221" s="22"/>
      <c r="Q221" s="22"/>
      <c r="R221" s="22"/>
      <c r="S221" s="22"/>
      <c r="T221" s="22"/>
      <c r="U221" s="22"/>
      <c r="V221" s="1"/>
      <c r="W221" s="1"/>
      <c r="X221" s="1"/>
      <c r="Y221" s="1"/>
    </row>
    <row r="222" spans="1:25" ht="14" x14ac:dyDescent="0.3">
      <c r="A222" s="139" t="s">
        <v>165</v>
      </c>
      <c r="B222" s="85"/>
      <c r="C222" s="85"/>
      <c r="D222" s="85"/>
      <c r="E222" s="85"/>
      <c r="F222" s="24"/>
      <c r="G222" s="22"/>
      <c r="H222" s="85"/>
      <c r="I222" s="85"/>
      <c r="J222" s="85"/>
      <c r="K222" s="86"/>
      <c r="L222" s="150"/>
      <c r="M222" s="22"/>
      <c r="N222" s="22"/>
      <c r="O222" s="22"/>
      <c r="P222" s="22"/>
      <c r="Q222" s="22"/>
      <c r="R222" s="22"/>
      <c r="S222" s="22"/>
      <c r="T222" s="22"/>
      <c r="U222" s="22"/>
      <c r="V222" s="1"/>
      <c r="W222" s="1"/>
      <c r="X222" s="1"/>
      <c r="Y222" s="1"/>
    </row>
    <row r="223" spans="1:25" ht="14" x14ac:dyDescent="0.3">
      <c r="A223" s="150" t="s">
        <v>166</v>
      </c>
      <c r="B223" s="22"/>
      <c r="C223" s="22"/>
      <c r="D223" s="22"/>
      <c r="E223" s="22"/>
      <c r="F223" s="24"/>
      <c r="G223" s="22"/>
      <c r="H223" s="22"/>
      <c r="I223" s="22"/>
      <c r="J223" s="22"/>
      <c r="K223" s="24"/>
      <c r="L223" s="150"/>
      <c r="M223" s="22"/>
      <c r="N223" s="22"/>
      <c r="O223" s="22"/>
      <c r="P223" s="22"/>
      <c r="Q223" s="22"/>
      <c r="R223" s="22"/>
      <c r="S223" s="22"/>
      <c r="T223" s="22"/>
      <c r="U223" s="22"/>
      <c r="V223" s="1"/>
      <c r="W223" s="1"/>
      <c r="X223" s="1"/>
      <c r="Y223" s="1"/>
    </row>
    <row r="224" spans="1:25" ht="14" x14ac:dyDescent="0.3">
      <c r="A224" s="134" t="s">
        <v>167</v>
      </c>
      <c r="B224" s="22">
        <v>1070125</v>
      </c>
      <c r="C224" s="22">
        <v>1070125</v>
      </c>
      <c r="D224" s="22">
        <v>1070125</v>
      </c>
      <c r="E224" s="22">
        <v>2140248</v>
      </c>
      <c r="F224" s="24">
        <v>2140246</v>
      </c>
      <c r="G224" s="22">
        <f t="shared" ref="G224:H226" si="29">F224</f>
        <v>2140246</v>
      </c>
      <c r="H224" s="22">
        <f t="shared" si="29"/>
        <v>2140246</v>
      </c>
      <c r="I224" s="22">
        <v>2140246</v>
      </c>
      <c r="J224" s="22">
        <v>2140246</v>
      </c>
      <c r="K224" s="24">
        <f>J224</f>
        <v>2140246</v>
      </c>
      <c r="L224" s="134"/>
      <c r="M224" s="22"/>
      <c r="N224" s="22"/>
      <c r="O224" s="22"/>
      <c r="P224" s="22"/>
      <c r="Q224" s="22"/>
      <c r="R224" s="22"/>
      <c r="S224" s="22"/>
      <c r="T224" s="22"/>
      <c r="U224" s="22"/>
      <c r="V224" s="1"/>
      <c r="W224" s="1"/>
      <c r="X224" s="1"/>
      <c r="Y224" s="1"/>
    </row>
    <row r="225" spans="1:25" ht="14" x14ac:dyDescent="0.3">
      <c r="A225" s="134" t="s">
        <v>168</v>
      </c>
      <c r="B225" s="22">
        <v>1503803</v>
      </c>
      <c r="C225" s="22">
        <v>1503803</v>
      </c>
      <c r="D225" s="22">
        <v>1503803</v>
      </c>
      <c r="E225" s="22">
        <v>11991012</v>
      </c>
      <c r="F225" s="24">
        <v>11991012</v>
      </c>
      <c r="G225" s="22">
        <f t="shared" si="29"/>
        <v>11991012</v>
      </c>
      <c r="H225" s="22">
        <f t="shared" si="29"/>
        <v>11991012</v>
      </c>
      <c r="I225" s="22">
        <f>H225</f>
        <v>11991012</v>
      </c>
      <c r="J225" s="22">
        <f>I225</f>
        <v>11991012</v>
      </c>
      <c r="K225" s="24">
        <f>J225</f>
        <v>11991012</v>
      </c>
      <c r="L225" s="134"/>
      <c r="M225" s="22"/>
      <c r="N225" s="22"/>
      <c r="O225" s="22"/>
      <c r="P225" s="22"/>
      <c r="Q225" s="22"/>
      <c r="R225" s="22"/>
      <c r="S225" s="22"/>
      <c r="T225" s="22"/>
      <c r="U225" s="22"/>
      <c r="V225" s="1"/>
      <c r="W225" s="1"/>
      <c r="X225" s="1"/>
      <c r="Y225" s="1"/>
    </row>
    <row r="226" spans="1:25" ht="14" x14ac:dyDescent="0.3">
      <c r="A226" s="151" t="s">
        <v>169</v>
      </c>
      <c r="B226" s="22">
        <v>207002</v>
      </c>
      <c r="C226" s="22">
        <v>207002</v>
      </c>
      <c r="D226" s="22">
        <v>207002</v>
      </c>
      <c r="E226" s="22">
        <v>207002</v>
      </c>
      <c r="F226" s="24">
        <v>207002</v>
      </c>
      <c r="G226" s="22">
        <f t="shared" si="29"/>
        <v>207002</v>
      </c>
      <c r="H226" s="22">
        <f t="shared" si="29"/>
        <v>207002</v>
      </c>
      <c r="I226" s="22">
        <f>H226</f>
        <v>207002</v>
      </c>
      <c r="J226" s="22">
        <f>I226</f>
        <v>207002</v>
      </c>
      <c r="K226" s="24">
        <f>J226</f>
        <v>207002</v>
      </c>
      <c r="L226" s="134"/>
      <c r="M226" s="22"/>
      <c r="N226" s="22"/>
      <c r="O226" s="22"/>
      <c r="P226" s="22"/>
      <c r="Q226" s="22"/>
      <c r="R226" s="22"/>
      <c r="S226" s="22"/>
      <c r="T226" s="22"/>
      <c r="U226" s="22"/>
      <c r="V226" s="1"/>
      <c r="W226" s="1"/>
      <c r="X226" s="1"/>
      <c r="Y226" s="1"/>
    </row>
    <row r="227" spans="1:25" ht="14" x14ac:dyDescent="0.3">
      <c r="A227" s="152" t="s">
        <v>170</v>
      </c>
      <c r="F227" s="153"/>
      <c r="G227" s="78">
        <f>3*FS!$A$26</f>
        <v>642073.98600000003</v>
      </c>
      <c r="H227" s="78">
        <f>3*FS!$A$26</f>
        <v>642073.98600000003</v>
      </c>
      <c r="I227" s="78">
        <f>3*FS!$A$26</f>
        <v>642073.98600000003</v>
      </c>
      <c r="J227" s="78">
        <f>3*FS!$A$26</f>
        <v>642073.98600000003</v>
      </c>
      <c r="K227" s="79">
        <f>3*FS!$A$26</f>
        <v>642073.98600000003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" x14ac:dyDescent="0.3">
      <c r="A228" s="152"/>
      <c r="F228" s="153"/>
      <c r="G228" s="1"/>
      <c r="H228" s="1"/>
      <c r="I228" s="1"/>
      <c r="J228" s="1"/>
      <c r="K228" s="69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" x14ac:dyDescent="0.3">
      <c r="A229" s="151" t="s">
        <v>171</v>
      </c>
      <c r="B229" s="22">
        <v>4068450</v>
      </c>
      <c r="C229" s="22">
        <v>1995276</v>
      </c>
      <c r="D229" s="22">
        <v>-2829185</v>
      </c>
      <c r="E229" s="22">
        <v>1587146</v>
      </c>
      <c r="F229" s="24">
        <v>807101</v>
      </c>
      <c r="G229" s="22">
        <f ca="1">F229+FS!G19-G227</f>
        <v>-2030891.3126643687</v>
      </c>
      <c r="H229" s="22">
        <f ca="1">G229+FS!H19-H227</f>
        <v>-3438579.8189549586</v>
      </c>
      <c r="I229" s="22">
        <f ca="1">H229+FS!I19-I227</f>
        <v>-7974932.9756981954</v>
      </c>
      <c r="J229" s="22">
        <f ca="1">I229+FS!J19-J227</f>
        <v>-14749741.833978478</v>
      </c>
      <c r="K229" s="22">
        <f ca="1">J229+FS!K19-K227</f>
        <v>-24431204.855912946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" x14ac:dyDescent="0.3">
      <c r="A230" s="151" t="s">
        <v>172</v>
      </c>
      <c r="B230" s="22"/>
      <c r="C230" s="22"/>
      <c r="D230" s="22"/>
      <c r="E230" s="22"/>
      <c r="F230" s="24"/>
      <c r="G230" s="22"/>
      <c r="H230" s="22"/>
      <c r="I230" s="22"/>
      <c r="J230" s="22"/>
      <c r="K230" s="24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" x14ac:dyDescent="0.3">
      <c r="A231" s="154" t="s">
        <v>173</v>
      </c>
      <c r="B231" s="22">
        <v>-496058</v>
      </c>
      <c r="C231" s="22">
        <v>-485073</v>
      </c>
      <c r="D231" s="22">
        <v>-597904</v>
      </c>
      <c r="E231" s="22">
        <v>-598930</v>
      </c>
      <c r="F231" s="24">
        <v>-543266</v>
      </c>
      <c r="G231" s="22">
        <f>F231</f>
        <v>-543266</v>
      </c>
      <c r="H231" s="22">
        <f>G231</f>
        <v>-543266</v>
      </c>
      <c r="I231" s="22">
        <f>H231</f>
        <v>-543266</v>
      </c>
      <c r="J231" s="22">
        <f>I231</f>
        <v>-543266</v>
      </c>
      <c r="K231" s="24">
        <f>J231</f>
        <v>-543266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" x14ac:dyDescent="0.3">
      <c r="A232" s="134" t="s">
        <v>174</v>
      </c>
      <c r="B232" s="22"/>
      <c r="C232" s="22"/>
      <c r="D232" s="22"/>
      <c r="E232" s="22"/>
      <c r="F232" s="24"/>
      <c r="G232" s="22"/>
      <c r="H232" s="1"/>
      <c r="I232" s="22"/>
      <c r="J232" s="22"/>
      <c r="K232" s="69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" x14ac:dyDescent="0.3">
      <c r="A233" s="144" t="s">
        <v>175</v>
      </c>
      <c r="B233" s="28"/>
      <c r="C233" s="28"/>
      <c r="D233" s="28">
        <v>-5000</v>
      </c>
      <c r="E233" s="28">
        <v>-5000</v>
      </c>
      <c r="F233" s="24">
        <v>-5000</v>
      </c>
      <c r="G233" s="28">
        <f>F233</f>
        <v>-5000</v>
      </c>
      <c r="H233" s="28">
        <f>G233</f>
        <v>-5000</v>
      </c>
      <c r="I233" s="28">
        <f>H233</f>
        <v>-5000</v>
      </c>
      <c r="J233" s="28">
        <f>I233</f>
        <v>-5000</v>
      </c>
      <c r="K233" s="29">
        <f>J233</f>
        <v>-5000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" x14ac:dyDescent="0.3">
      <c r="A234" s="48"/>
      <c r="B234" s="1"/>
      <c r="C234" s="1"/>
      <c r="D234" s="1"/>
      <c r="E234" s="1"/>
      <c r="F234" s="133"/>
      <c r="G234" s="1"/>
      <c r="H234" s="1"/>
      <c r="I234" s="1"/>
      <c r="J234" s="1"/>
      <c r="K234" s="69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" x14ac:dyDescent="0.3">
      <c r="A235" s="139" t="s">
        <v>176</v>
      </c>
      <c r="B235" s="85"/>
      <c r="C235" s="85"/>
      <c r="D235" s="85"/>
      <c r="E235" s="85"/>
      <c r="F235" s="86"/>
      <c r="G235" s="85"/>
      <c r="H235" s="85"/>
      <c r="I235" s="85"/>
      <c r="J235" s="85"/>
      <c r="K235" s="67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" x14ac:dyDescent="0.3">
      <c r="A236" s="150" t="s">
        <v>177</v>
      </c>
      <c r="B236" s="22"/>
      <c r="C236" s="22"/>
      <c r="D236" s="22"/>
      <c r="E236" s="22"/>
      <c r="F236" s="24"/>
      <c r="G236" s="22"/>
      <c r="H236" s="22"/>
      <c r="I236" s="22"/>
      <c r="J236" s="22"/>
      <c r="K236" s="69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" x14ac:dyDescent="0.3">
      <c r="A237" s="134" t="s">
        <v>178</v>
      </c>
      <c r="B237" s="22">
        <v>130983</v>
      </c>
      <c r="C237" s="22">
        <v>138322</v>
      </c>
      <c r="D237" s="22">
        <v>157748</v>
      </c>
      <c r="E237" s="22">
        <v>173550</v>
      </c>
      <c r="F237" s="24">
        <v>321113</v>
      </c>
      <c r="G237" s="22">
        <f t="shared" ref="G237:K241" si="30">F237</f>
        <v>321113</v>
      </c>
      <c r="H237" s="22">
        <f t="shared" si="30"/>
        <v>321113</v>
      </c>
      <c r="I237" s="22">
        <f t="shared" si="30"/>
        <v>321113</v>
      </c>
      <c r="J237" s="22">
        <f t="shared" si="30"/>
        <v>321113</v>
      </c>
      <c r="K237" s="24">
        <f t="shared" si="30"/>
        <v>321113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" x14ac:dyDescent="0.3">
      <c r="A238" s="134" t="s">
        <v>179</v>
      </c>
      <c r="B238" s="22">
        <v>0</v>
      </c>
      <c r="C238" s="22">
        <v>0</v>
      </c>
      <c r="D238" s="22">
        <v>0</v>
      </c>
      <c r="E238" s="22">
        <v>432768</v>
      </c>
      <c r="F238" s="24">
        <v>2923281</v>
      </c>
      <c r="G238" s="22">
        <f t="shared" si="30"/>
        <v>2923281</v>
      </c>
      <c r="H238" s="22">
        <f t="shared" si="30"/>
        <v>2923281</v>
      </c>
      <c r="I238" s="22">
        <f t="shared" si="30"/>
        <v>2923281</v>
      </c>
      <c r="J238" s="22">
        <f t="shared" si="30"/>
        <v>2923281</v>
      </c>
      <c r="K238" s="24">
        <f t="shared" si="30"/>
        <v>2923281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" x14ac:dyDescent="0.3">
      <c r="A239" s="134" t="s">
        <v>180</v>
      </c>
      <c r="B239" s="22">
        <v>0</v>
      </c>
      <c r="C239" s="22">
        <v>0</v>
      </c>
      <c r="D239" s="22">
        <v>4000000</v>
      </c>
      <c r="E239" s="22">
        <v>0</v>
      </c>
      <c r="F239" s="24">
        <v>0</v>
      </c>
      <c r="G239" s="22">
        <f t="shared" si="30"/>
        <v>0</v>
      </c>
      <c r="H239" s="22">
        <f t="shared" si="30"/>
        <v>0</v>
      </c>
      <c r="I239" s="22">
        <f t="shared" si="30"/>
        <v>0</v>
      </c>
      <c r="J239" s="22">
        <f t="shared" si="30"/>
        <v>0</v>
      </c>
      <c r="K239" s="24">
        <f t="shared" si="30"/>
        <v>0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" x14ac:dyDescent="0.3">
      <c r="A240" s="134" t="s">
        <v>181</v>
      </c>
      <c r="B240" s="22">
        <v>0</v>
      </c>
      <c r="C240" s="22">
        <v>3675474</v>
      </c>
      <c r="D240" s="22">
        <v>4209046</v>
      </c>
      <c r="E240" s="22">
        <v>5365192</v>
      </c>
      <c r="F240" s="24">
        <v>5945991</v>
      </c>
      <c r="G240" s="22">
        <f t="shared" si="30"/>
        <v>5945991</v>
      </c>
      <c r="H240" s="22">
        <f t="shared" si="30"/>
        <v>5945991</v>
      </c>
      <c r="I240" s="22">
        <f t="shared" si="30"/>
        <v>5945991</v>
      </c>
      <c r="J240" s="22">
        <f t="shared" si="30"/>
        <v>5945991</v>
      </c>
      <c r="K240" s="24">
        <f t="shared" si="30"/>
        <v>5945991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" x14ac:dyDescent="0.3">
      <c r="A241" s="134" t="s">
        <v>182</v>
      </c>
      <c r="B241" s="22">
        <v>0</v>
      </c>
      <c r="C241" s="22">
        <v>173067</v>
      </c>
      <c r="D241" s="22">
        <v>171566</v>
      </c>
      <c r="E241" s="22">
        <v>170543</v>
      </c>
      <c r="F241" s="24">
        <v>178788</v>
      </c>
      <c r="G241" s="28">
        <f t="shared" si="30"/>
        <v>178788</v>
      </c>
      <c r="H241" s="28">
        <f t="shared" si="30"/>
        <v>178788</v>
      </c>
      <c r="I241" s="28">
        <f t="shared" si="30"/>
        <v>178788</v>
      </c>
      <c r="J241" s="28">
        <f t="shared" si="30"/>
        <v>178788</v>
      </c>
      <c r="K241" s="29">
        <f t="shared" si="30"/>
        <v>178788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" x14ac:dyDescent="0.3">
      <c r="A242" s="134"/>
      <c r="B242" s="76">
        <f t="shared" ref="B242:K242" si="31">SUM(B237:B241)</f>
        <v>130983</v>
      </c>
      <c r="C242" s="76">
        <f t="shared" si="31"/>
        <v>3986863</v>
      </c>
      <c r="D242" s="76">
        <f t="shared" si="31"/>
        <v>8538360</v>
      </c>
      <c r="E242" s="76">
        <f t="shared" si="31"/>
        <v>6142053</v>
      </c>
      <c r="F242" s="77">
        <f t="shared" si="31"/>
        <v>9369173</v>
      </c>
      <c r="G242" s="149">
        <f t="shared" si="31"/>
        <v>9369173</v>
      </c>
      <c r="H242" s="149">
        <f t="shared" si="31"/>
        <v>9369173</v>
      </c>
      <c r="I242" s="149">
        <f t="shared" si="31"/>
        <v>9369173</v>
      </c>
      <c r="J242" s="149">
        <f t="shared" si="31"/>
        <v>9369173</v>
      </c>
      <c r="K242" s="155">
        <f t="shared" si="31"/>
        <v>9369173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" x14ac:dyDescent="0.3">
      <c r="A243" s="150" t="s">
        <v>183</v>
      </c>
      <c r="B243" s="22"/>
      <c r="C243" s="22"/>
      <c r="D243" s="22"/>
      <c r="E243" s="22"/>
      <c r="F243" s="24"/>
      <c r="G243" s="1"/>
      <c r="H243" s="156"/>
      <c r="I243" s="156"/>
      <c r="J243" s="156"/>
      <c r="K243" s="69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" x14ac:dyDescent="0.3">
      <c r="A244" s="134" t="s">
        <v>184</v>
      </c>
      <c r="B244" s="22">
        <v>0</v>
      </c>
      <c r="C244" s="22">
        <v>0</v>
      </c>
      <c r="D244" s="22">
        <v>477997</v>
      </c>
      <c r="E244" s="22">
        <v>1105953</v>
      </c>
      <c r="F244" s="24">
        <v>1442366</v>
      </c>
      <c r="G244" s="22">
        <f>F244</f>
        <v>1442366</v>
      </c>
      <c r="H244" s="22">
        <f>G244</f>
        <v>1442366</v>
      </c>
      <c r="I244" s="22">
        <f>H244</f>
        <v>1442366</v>
      </c>
      <c r="J244" s="22">
        <f>I244</f>
        <v>1442366</v>
      </c>
      <c r="K244" s="24">
        <f>J244</f>
        <v>1442366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" x14ac:dyDescent="0.3">
      <c r="A245" s="134"/>
      <c r="B245" s="22"/>
      <c r="C245" s="22"/>
      <c r="D245" s="13"/>
      <c r="E245" s="13"/>
      <c r="F245" s="14"/>
      <c r="G245" s="13"/>
      <c r="H245" s="13"/>
      <c r="I245" s="13"/>
      <c r="J245" s="13"/>
      <c r="K245" s="14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" x14ac:dyDescent="0.3">
      <c r="A246" s="134" t="s">
        <v>185</v>
      </c>
      <c r="B246" s="22">
        <v>142960</v>
      </c>
      <c r="C246" s="22">
        <v>165094</v>
      </c>
      <c r="D246" s="22">
        <v>257548</v>
      </c>
      <c r="E246" s="22">
        <v>293906</v>
      </c>
      <c r="F246" s="24">
        <v>278892</v>
      </c>
      <c r="G246" s="22">
        <f>F246</f>
        <v>278892</v>
      </c>
      <c r="H246" s="22">
        <f>G246</f>
        <v>278892</v>
      </c>
      <c r="I246" s="22">
        <f>H246</f>
        <v>278892</v>
      </c>
      <c r="J246" s="22">
        <f>I246</f>
        <v>278892</v>
      </c>
      <c r="K246" s="24">
        <f>J246</f>
        <v>278892</v>
      </c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" x14ac:dyDescent="0.3">
      <c r="A247" s="134"/>
      <c r="B247" s="13"/>
      <c r="C247" s="13"/>
      <c r="D247" s="13"/>
      <c r="E247" s="13"/>
      <c r="F247" s="14"/>
      <c r="G247" s="70"/>
      <c r="H247" s="70"/>
      <c r="I247" s="70"/>
      <c r="J247" s="70"/>
      <c r="K247" s="7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" x14ac:dyDescent="0.3">
      <c r="A248" s="134" t="s">
        <v>186</v>
      </c>
      <c r="B248" s="22">
        <v>190081</v>
      </c>
      <c r="C248" s="22">
        <v>154623</v>
      </c>
      <c r="D248" s="22">
        <v>59396</v>
      </c>
      <c r="E248" s="22">
        <v>0</v>
      </c>
      <c r="F248" s="24">
        <v>508954</v>
      </c>
      <c r="G248" s="22">
        <f>F248</f>
        <v>508954</v>
      </c>
      <c r="H248" s="22">
        <f>G248</f>
        <v>508954</v>
      </c>
      <c r="I248" s="22">
        <f>H248</f>
        <v>508954</v>
      </c>
      <c r="J248" s="22">
        <f>I248</f>
        <v>508954</v>
      </c>
      <c r="K248" s="24">
        <f>J248</f>
        <v>508954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" x14ac:dyDescent="0.3">
      <c r="A249" s="134"/>
      <c r="B249" s="13"/>
      <c r="C249" s="13"/>
      <c r="D249" s="13"/>
      <c r="E249" s="13"/>
      <c r="F249" s="14"/>
      <c r="G249" s="1"/>
      <c r="H249" s="22"/>
      <c r="I249" s="22"/>
      <c r="J249" s="22"/>
      <c r="K249" s="24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" x14ac:dyDescent="0.3">
      <c r="A250" s="134" t="s">
        <v>187</v>
      </c>
      <c r="B250" s="22">
        <v>3110</v>
      </c>
      <c r="C250" s="22">
        <v>11747</v>
      </c>
      <c r="D250" s="22">
        <v>1936</v>
      </c>
      <c r="E250" s="22">
        <v>1187</v>
      </c>
      <c r="F250" s="24">
        <v>2848</v>
      </c>
      <c r="G250" s="78">
        <f>F250</f>
        <v>2848</v>
      </c>
      <c r="H250" s="78">
        <f>G250</f>
        <v>2848</v>
      </c>
      <c r="I250" s="78">
        <f>H250</f>
        <v>2848</v>
      </c>
      <c r="J250" s="78">
        <f>I250</f>
        <v>2848</v>
      </c>
      <c r="K250" s="79">
        <f>J250</f>
        <v>2848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" x14ac:dyDescent="0.3">
      <c r="A251" s="134"/>
      <c r="B251" s="13"/>
      <c r="C251" s="13"/>
      <c r="D251" s="13"/>
      <c r="E251" s="13"/>
      <c r="F251" s="14"/>
      <c r="G251" s="1"/>
      <c r="H251" s="1"/>
      <c r="I251" s="1"/>
      <c r="J251" s="1"/>
      <c r="K251" s="69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" x14ac:dyDescent="0.3">
      <c r="A252" s="134" t="s">
        <v>188</v>
      </c>
      <c r="B252" s="22">
        <v>8052978</v>
      </c>
      <c r="C252" s="22">
        <v>8154343</v>
      </c>
      <c r="D252" s="22">
        <v>6150510</v>
      </c>
      <c r="E252" s="22">
        <v>0</v>
      </c>
      <c r="F252" s="1">
        <v>0</v>
      </c>
      <c r="G252" s="68">
        <f>F252</f>
        <v>0</v>
      </c>
      <c r="H252" s="1">
        <f>G252</f>
        <v>0</v>
      </c>
      <c r="I252" s="1">
        <f>H252</f>
        <v>0</v>
      </c>
      <c r="J252" s="1">
        <f>I252</f>
        <v>0</v>
      </c>
      <c r="K252" s="69">
        <f>J252</f>
        <v>0</v>
      </c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" x14ac:dyDescent="0.3">
      <c r="A253" s="134"/>
      <c r="B253" s="22"/>
      <c r="C253" s="22"/>
      <c r="D253" s="22"/>
      <c r="E253" s="22"/>
      <c r="F253" s="24"/>
      <c r="G253" s="1"/>
      <c r="H253" s="149"/>
      <c r="I253" s="149"/>
      <c r="J253" s="149"/>
      <c r="K253" s="69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" x14ac:dyDescent="0.3">
      <c r="A254" s="134" t="s">
        <v>189</v>
      </c>
      <c r="B254" s="22">
        <v>476458</v>
      </c>
      <c r="C254" s="22">
        <v>559652</v>
      </c>
      <c r="D254" s="22">
        <v>522870</v>
      </c>
      <c r="E254" s="22">
        <v>477857</v>
      </c>
      <c r="F254" s="24">
        <v>882792</v>
      </c>
      <c r="G254" s="22">
        <f>F254</f>
        <v>882792</v>
      </c>
      <c r="H254" s="22">
        <f>G254</f>
        <v>882792</v>
      </c>
      <c r="I254" s="22">
        <f>H254</f>
        <v>882792</v>
      </c>
      <c r="J254" s="22">
        <f>I254</f>
        <v>882792</v>
      </c>
      <c r="K254" s="24">
        <f>J254</f>
        <v>882792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" x14ac:dyDescent="0.3">
      <c r="A255" s="134"/>
      <c r="B255" s="70"/>
      <c r="C255" s="70"/>
      <c r="D255" s="70"/>
      <c r="E255" s="70"/>
      <c r="F255" s="71"/>
      <c r="G255" s="70"/>
      <c r="H255" s="70"/>
      <c r="I255" s="70"/>
      <c r="J255" s="70"/>
      <c r="K255" s="7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" x14ac:dyDescent="0.3">
      <c r="A256" s="134" t="s">
        <v>190</v>
      </c>
      <c r="B256" s="22">
        <v>0</v>
      </c>
      <c r="C256" s="22">
        <v>0</v>
      </c>
      <c r="D256" s="22">
        <v>0</v>
      </c>
      <c r="E256" s="22">
        <v>0</v>
      </c>
      <c r="F256" s="24">
        <v>236964</v>
      </c>
      <c r="G256" s="22">
        <f>F256</f>
        <v>236964</v>
      </c>
      <c r="H256" s="22">
        <f>G256</f>
        <v>236964</v>
      </c>
      <c r="I256" s="22">
        <f>H256</f>
        <v>236964</v>
      </c>
      <c r="J256" s="22">
        <f>I256</f>
        <v>236964</v>
      </c>
      <c r="K256" s="24">
        <f>J256</f>
        <v>236964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" x14ac:dyDescent="0.3">
      <c r="A257" s="134"/>
      <c r="B257" s="22"/>
      <c r="C257" s="22"/>
      <c r="D257" s="22"/>
      <c r="E257" s="22"/>
      <c r="F257" s="24"/>
      <c r="G257" s="70"/>
      <c r="H257" s="70"/>
      <c r="I257" s="70"/>
      <c r="J257" s="70"/>
      <c r="K257" s="7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" x14ac:dyDescent="0.3">
      <c r="A258" s="134" t="s">
        <v>191</v>
      </c>
      <c r="B258" s="22">
        <v>0</v>
      </c>
      <c r="C258" s="22">
        <v>406763</v>
      </c>
      <c r="D258" s="22">
        <v>742959</v>
      </c>
      <c r="E258" s="22">
        <v>681685</v>
      </c>
      <c r="F258" s="24">
        <v>709793</v>
      </c>
      <c r="G258" s="22">
        <f>F258</f>
        <v>709793</v>
      </c>
      <c r="H258" s="22">
        <f>G258</f>
        <v>709793</v>
      </c>
      <c r="I258" s="22">
        <f>H258</f>
        <v>709793</v>
      </c>
      <c r="J258" s="22">
        <f>I258</f>
        <v>709793</v>
      </c>
      <c r="K258" s="24">
        <f>J258</f>
        <v>709793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" x14ac:dyDescent="0.3">
      <c r="A259" s="68"/>
      <c r="B259" s="1"/>
      <c r="C259" s="1"/>
      <c r="D259" s="1"/>
      <c r="E259" s="1"/>
      <c r="F259" s="69"/>
      <c r="G259" s="1"/>
      <c r="H259" s="1"/>
      <c r="I259" s="1"/>
      <c r="J259" s="1"/>
      <c r="K259" s="69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" x14ac:dyDescent="0.3">
      <c r="A260" s="68" t="s">
        <v>192</v>
      </c>
      <c r="B260" s="1">
        <v>0.7</v>
      </c>
      <c r="C260" s="1">
        <v>0.7</v>
      </c>
      <c r="D260" s="1">
        <v>0.6</v>
      </c>
      <c r="E260" s="1">
        <v>0.9</v>
      </c>
      <c r="F260" s="69">
        <v>0.9</v>
      </c>
      <c r="G260" s="157">
        <f>F260</f>
        <v>0.9</v>
      </c>
      <c r="H260" s="157">
        <f>G260</f>
        <v>0.9</v>
      </c>
      <c r="I260" s="157">
        <f>H260</f>
        <v>0.9</v>
      </c>
      <c r="J260" s="157">
        <f>I260</f>
        <v>0.9</v>
      </c>
      <c r="K260" s="158">
        <f>J260</f>
        <v>0.9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" x14ac:dyDescent="0.3">
      <c r="A261" s="72"/>
      <c r="B261" s="17"/>
      <c r="C261" s="17"/>
      <c r="D261" s="17"/>
      <c r="E261" s="17"/>
      <c r="F261" s="159"/>
      <c r="G261" s="17"/>
      <c r="H261" s="17"/>
      <c r="I261" s="17"/>
      <c r="J261" s="17"/>
      <c r="K261" s="18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4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4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4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4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4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4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4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4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4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4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4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4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4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4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4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4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4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4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4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4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4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4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  <row r="1023" spans="1:25" ht="14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24" spans="1:25" ht="14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</row>
    <row r="1025" spans="1:25" ht="14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  <row r="1026" spans="1:25" ht="14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</row>
    <row r="1027" spans="1:25" ht="14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</row>
    <row r="1028" spans="1:25" ht="14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</row>
    <row r="1029" spans="1:25" ht="14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</row>
    <row r="1030" spans="1:25" ht="14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</row>
    <row r="1031" spans="1:25" ht="14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</row>
    <row r="1032" spans="1:25" ht="14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</row>
    <row r="1033" spans="1:25" ht="14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</row>
    <row r="1034" spans="1:25" ht="14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</row>
    <row r="1035" spans="1:25" ht="14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</row>
    <row r="1036" spans="1:25" ht="14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</row>
    <row r="1037" spans="1:25" ht="14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</row>
    <row r="1038" spans="1:25" ht="14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</row>
    <row r="1039" spans="1:25" ht="14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</row>
    <row r="1040" spans="1:25" ht="14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</row>
    <row r="1041" spans="1:25" ht="14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</row>
    <row r="1042" spans="1:25" ht="14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</row>
    <row r="1043" spans="1:25" ht="14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</row>
    <row r="1044" spans="1:25" ht="14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</row>
    <row r="1045" spans="1:25" ht="14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</row>
    <row r="1046" spans="1:25" ht="14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</row>
    <row r="1047" spans="1:25" ht="14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</row>
    <row r="1048" spans="1:25" ht="14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</row>
    <row r="1049" spans="1:25" ht="14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</row>
    <row r="1050" spans="1:25" ht="14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</row>
    <row r="1051" spans="1:25" ht="14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</row>
    <row r="1052" spans="1:25" ht="14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</row>
    <row r="1053" spans="1:25" ht="14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</row>
    <row r="1054" spans="1:25" ht="14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</row>
    <row r="1055" spans="1:25" ht="14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</row>
    <row r="1056" spans="1:25" ht="14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</row>
    <row r="1057" spans="1:25" ht="14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</row>
    <row r="1058" spans="1:25" ht="14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</row>
    <row r="1059" spans="1:25" ht="14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</row>
    <row r="1060" spans="1:25" ht="14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</row>
    <row r="1061" spans="1:25" ht="14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</row>
    <row r="1062" spans="1:25" ht="14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</row>
    <row r="1063" spans="1:25" ht="14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</row>
    <row r="1064" spans="1:25" ht="14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</row>
    <row r="1065" spans="1:25" ht="14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</row>
    <row r="1066" spans="1:25" ht="14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</row>
    <row r="1067" spans="1:25" ht="14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</row>
    <row r="1068" spans="1:25" ht="14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</row>
    <row r="1069" spans="1:25" ht="14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</row>
    <row r="1070" spans="1:25" ht="14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</row>
    <row r="1071" spans="1:25" ht="14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</row>
    <row r="1072" spans="1:25" ht="14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</row>
    <row r="1073" spans="1:25" ht="14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</row>
    <row r="1074" spans="1:25" ht="14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</row>
    <row r="1075" spans="1:25" ht="14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</row>
    <row r="1076" spans="1:25" ht="14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</row>
    <row r="1077" spans="1:25" ht="14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</row>
    <row r="1078" spans="1:25" ht="14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1056"/>
  <sheetViews>
    <sheetView workbookViewId="0">
      <pane ySplit="1" topLeftCell="A180" activePane="bottomLeft" state="frozen"/>
      <selection pane="bottomLeft"/>
    </sheetView>
  </sheetViews>
  <sheetFormatPr defaultColWidth="12.54296875" defaultRowHeight="15.75" customHeight="1" x14ac:dyDescent="0.25"/>
  <cols>
    <col min="1" max="1" width="58.7265625" customWidth="1"/>
    <col min="2" max="2" width="15.26953125" bestFit="1" customWidth="1"/>
    <col min="3" max="7" width="13.26953125" bestFit="1" customWidth="1"/>
    <col min="8" max="8" width="14.26953125" bestFit="1" customWidth="1"/>
    <col min="9" max="11" width="15" bestFit="1" customWidth="1"/>
  </cols>
  <sheetData>
    <row r="1" spans="1:21" ht="14" x14ac:dyDescent="0.3">
      <c r="A1" s="153"/>
      <c r="B1" s="160" t="s">
        <v>15</v>
      </c>
      <c r="C1" s="160" t="s">
        <v>16</v>
      </c>
      <c r="D1" s="160" t="s">
        <v>17</v>
      </c>
      <c r="E1" s="160" t="s">
        <v>18</v>
      </c>
      <c r="F1" s="161" t="s">
        <v>19</v>
      </c>
      <c r="G1" s="160" t="s">
        <v>20</v>
      </c>
      <c r="H1" s="160" t="s">
        <v>21</v>
      </c>
      <c r="I1" s="160" t="s">
        <v>22</v>
      </c>
      <c r="J1" s="160" t="s">
        <v>23</v>
      </c>
      <c r="K1" s="161" t="s">
        <v>24</v>
      </c>
      <c r="L1" s="21"/>
      <c r="M1" s="22"/>
      <c r="N1" s="22"/>
      <c r="O1" s="22"/>
      <c r="P1" s="22"/>
      <c r="Q1" s="22"/>
      <c r="R1" s="22"/>
      <c r="S1" s="22"/>
      <c r="T1" s="22"/>
      <c r="U1" s="22"/>
    </row>
    <row r="2" spans="1:21" ht="14" x14ac:dyDescent="0.3">
      <c r="A2" s="96" t="s">
        <v>193</v>
      </c>
      <c r="L2" s="21"/>
      <c r="M2" s="22"/>
      <c r="N2" s="22"/>
      <c r="O2" s="22"/>
      <c r="P2" s="22"/>
      <c r="Q2" s="22"/>
      <c r="R2" s="22"/>
      <c r="S2" s="22"/>
      <c r="T2" s="22"/>
      <c r="U2" s="22"/>
    </row>
    <row r="3" spans="1:21" ht="14" x14ac:dyDescent="0.3">
      <c r="A3" s="162" t="s">
        <v>194</v>
      </c>
      <c r="B3" s="85">
        <v>214211920</v>
      </c>
      <c r="C3" s="85">
        <v>234040872</v>
      </c>
      <c r="D3" s="85">
        <v>194665379</v>
      </c>
      <c r="E3" s="85">
        <v>282353611</v>
      </c>
      <c r="F3" s="86">
        <v>418592346</v>
      </c>
      <c r="G3" s="85">
        <f>(Assumptions!G54+Assumptions!G59)/1000</f>
        <v>840831031.78777158</v>
      </c>
      <c r="H3" s="85">
        <f>(Assumptions!H54+Assumptions!H59)/1000</f>
        <v>1015705969.7820034</v>
      </c>
      <c r="I3" s="85">
        <f>(Assumptions!I54+Assumptions!I59)/1000</f>
        <v>1239575856.9992611</v>
      </c>
      <c r="J3" s="85">
        <f>(Assumptions!J54+Assumptions!J59)/1000</f>
        <v>1526723604.2731397</v>
      </c>
      <c r="K3" s="86">
        <f>(Assumptions!K54+Assumptions!K59)/1000</f>
        <v>1879666178.6727536</v>
      </c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ht="14" x14ac:dyDescent="0.3">
      <c r="A4" s="147" t="s">
        <v>195</v>
      </c>
      <c r="B4" s="22">
        <v>941091</v>
      </c>
      <c r="C4" s="22">
        <v>765436</v>
      </c>
      <c r="D4" s="22">
        <v>546212</v>
      </c>
      <c r="E4" s="22">
        <v>811123</v>
      </c>
      <c r="F4" s="24">
        <v>750914</v>
      </c>
      <c r="G4" s="22">
        <f>Assumptions!G58/1000</f>
        <v>2531772.8474531341</v>
      </c>
      <c r="H4" s="22">
        <f>Assumptions!H58/1000</f>
        <v>3058327.6521354574</v>
      </c>
      <c r="I4" s="22">
        <f>Assumptions!I58/1000</f>
        <v>3732408.0326061295</v>
      </c>
      <c r="J4" s="22">
        <f>Assumptions!J58/1000</f>
        <v>4597020.3533593379</v>
      </c>
      <c r="K4" s="24">
        <f>Assumptions!K58/1000</f>
        <v>5659743.2938712323</v>
      </c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ht="14" x14ac:dyDescent="0.3">
      <c r="A5" s="163"/>
      <c r="B5" s="85">
        <f t="shared" ref="B5:K5" si="0">SUM(B3:B4)</f>
        <v>215153011</v>
      </c>
      <c r="C5" s="85">
        <f t="shared" si="0"/>
        <v>234806308</v>
      </c>
      <c r="D5" s="85">
        <f t="shared" si="0"/>
        <v>195211591</v>
      </c>
      <c r="E5" s="85">
        <f t="shared" si="0"/>
        <v>283164734</v>
      </c>
      <c r="F5" s="86">
        <f t="shared" si="0"/>
        <v>419343260</v>
      </c>
      <c r="G5" s="85">
        <f t="shared" si="0"/>
        <v>843362804.6352247</v>
      </c>
      <c r="H5" s="85">
        <f t="shared" si="0"/>
        <v>1018764297.4341389</v>
      </c>
      <c r="I5" s="85">
        <f t="shared" si="0"/>
        <v>1243308265.0318673</v>
      </c>
      <c r="J5" s="85">
        <f t="shared" si="0"/>
        <v>1531320624.6264989</v>
      </c>
      <c r="K5" s="86">
        <f t="shared" si="0"/>
        <v>1885325921.9666247</v>
      </c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1" ht="14" x14ac:dyDescent="0.3">
      <c r="A6" s="145" t="s">
        <v>196</v>
      </c>
      <c r="B6" s="22">
        <v>-28949456</v>
      </c>
      <c r="C6" s="22">
        <v>-35087707</v>
      </c>
      <c r="D6" s="22">
        <v>-30071676</v>
      </c>
      <c r="E6" s="22">
        <v>-33954750</v>
      </c>
      <c r="F6" s="29">
        <v>-6644201</v>
      </c>
      <c r="G6" s="22">
        <f>Assumptions!G60/1000</f>
        <v>-96220673.161272913</v>
      </c>
      <c r="H6" s="22">
        <f>Assumptions!H60/1000</f>
        <v>-116232522.88697135</v>
      </c>
      <c r="I6" s="22">
        <f>Assumptions!I60/1000</f>
        <v>-141851119.76818135</v>
      </c>
      <c r="J6" s="22">
        <f>Assumptions!J60/1000</f>
        <v>-174710931.66248053</v>
      </c>
      <c r="K6" s="24">
        <f>Assumptions!K60/1000</f>
        <v>-215099988.21739513</v>
      </c>
      <c r="L6" s="22"/>
      <c r="M6" s="22"/>
      <c r="N6" s="22"/>
      <c r="O6" s="22"/>
      <c r="P6" s="22"/>
      <c r="Q6" s="22"/>
      <c r="R6" s="22"/>
      <c r="S6" s="22"/>
      <c r="T6" s="22"/>
      <c r="U6" s="22"/>
    </row>
    <row r="7" spans="1:21" ht="14" x14ac:dyDescent="0.3">
      <c r="A7" s="147" t="s">
        <v>197</v>
      </c>
      <c r="B7" s="76">
        <f>B5+B6</f>
        <v>186203555</v>
      </c>
      <c r="C7" s="76">
        <f>C5+C6</f>
        <v>199718601</v>
      </c>
      <c r="D7" s="76">
        <f>D5+D6</f>
        <v>165139915</v>
      </c>
      <c r="E7" s="76">
        <f>E5+E6</f>
        <v>249209984</v>
      </c>
      <c r="F7" s="155">
        <f>F5+F6</f>
        <v>412699059</v>
      </c>
      <c r="G7" s="76">
        <f>Assumptions!G62/1000</f>
        <v>747142131.47395182</v>
      </c>
      <c r="H7" s="76">
        <f>Assumptions!H62/1000</f>
        <v>902531774.54716766</v>
      </c>
      <c r="I7" s="76">
        <f>Assumptions!I62/1000</f>
        <v>1101457145.2636859</v>
      </c>
      <c r="J7" s="76">
        <f>Assumptions!J62/1000</f>
        <v>1356609692.9640186</v>
      </c>
      <c r="K7" s="77">
        <f>Assumptions!K62/1000</f>
        <v>1670225933.7492299</v>
      </c>
      <c r="L7" s="149"/>
      <c r="M7" s="149"/>
      <c r="N7" s="149"/>
      <c r="O7" s="149"/>
      <c r="P7" s="149"/>
      <c r="Q7" s="149"/>
      <c r="R7" s="149"/>
      <c r="S7" s="149"/>
      <c r="T7" s="149"/>
      <c r="U7" s="149"/>
    </row>
    <row r="8" spans="1:21" ht="14" x14ac:dyDescent="0.3">
      <c r="A8" s="134" t="s">
        <v>198</v>
      </c>
      <c r="B8" s="28">
        <v>-170779180</v>
      </c>
      <c r="C8" s="28">
        <v>-184621127</v>
      </c>
      <c r="D8" s="28">
        <v>-157590280</v>
      </c>
      <c r="E8" s="28">
        <v>-225543999</v>
      </c>
      <c r="F8" s="29">
        <v>-379106173</v>
      </c>
      <c r="G8" s="28">
        <f>(G7-G9)*-1</f>
        <v>-724848596.6215694</v>
      </c>
      <c r="H8" s="28">
        <f>(H7-H9)*-1</f>
        <v>-874976965.46962297</v>
      </c>
      <c r="I8" s="28">
        <f>(I7-I9)*-1</f>
        <v>-1072800143.8230395</v>
      </c>
      <c r="J8" s="28">
        <f>(J7-J9)*-1</f>
        <v>-1326519841.4513397</v>
      </c>
      <c r="K8" s="29">
        <f>(K7-K9)*-1</f>
        <v>-1638631589.6609173</v>
      </c>
      <c r="L8" s="22"/>
      <c r="M8" s="22"/>
      <c r="N8" s="22"/>
      <c r="O8" s="22"/>
      <c r="P8" s="22"/>
      <c r="Q8" s="22"/>
      <c r="R8" s="22"/>
      <c r="S8" s="22"/>
      <c r="T8" s="22"/>
      <c r="U8" s="22"/>
    </row>
    <row r="9" spans="1:21" ht="14" x14ac:dyDescent="0.3">
      <c r="A9" s="147" t="s">
        <v>199</v>
      </c>
      <c r="B9" s="76">
        <f>B7+B8</f>
        <v>15424375</v>
      </c>
      <c r="C9" s="76">
        <f>C7+C8</f>
        <v>15097474</v>
      </c>
      <c r="D9" s="76">
        <f>D7+D8</f>
        <v>7549635</v>
      </c>
      <c r="E9" s="76">
        <f>E7+E8</f>
        <v>23665985</v>
      </c>
      <c r="F9" s="155">
        <f>F7+F8</f>
        <v>33592886</v>
      </c>
      <c r="G9" s="149">
        <f>Assumptions!G75/1000</f>
        <v>22293534.852382407</v>
      </c>
      <c r="H9" s="149">
        <f>Assumptions!H75/1000</f>
        <v>27554809.077544656</v>
      </c>
      <c r="I9" s="149">
        <f>Assumptions!I75/1000</f>
        <v>28657001.440646444</v>
      </c>
      <c r="J9" s="149">
        <f>Assumptions!J75/1000</f>
        <v>30089851.512678765</v>
      </c>
      <c r="K9" s="155">
        <f>Assumptions!K75/1000</f>
        <v>31594344.088312708</v>
      </c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21" ht="14" x14ac:dyDescent="0.3">
      <c r="A10" s="145" t="s">
        <v>200</v>
      </c>
      <c r="B10" s="22">
        <v>-6482137</v>
      </c>
      <c r="C10" s="22">
        <v>-7388212</v>
      </c>
      <c r="D10" s="22">
        <v>-6810619</v>
      </c>
      <c r="E10" s="22">
        <v>-7560798</v>
      </c>
      <c r="F10" s="24">
        <v>-10281744</v>
      </c>
      <c r="G10" s="22">
        <f>-Assumptions!G101</f>
        <v>-11929856.234999342</v>
      </c>
      <c r="H10" s="22">
        <f>-Assumptions!H101</f>
        <v>-13364038.837327009</v>
      </c>
      <c r="I10" s="22">
        <f>-Assumptions!I101</f>
        <v>-14940220.031414893</v>
      </c>
      <c r="J10" s="22">
        <f>-Assumptions!J101</f>
        <v>-16637872.195241608</v>
      </c>
      <c r="K10" s="24">
        <f>-Assumptions!K101</f>
        <v>-18616904.333490089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21" ht="14" x14ac:dyDescent="0.3">
      <c r="A11" s="145" t="s">
        <v>201</v>
      </c>
      <c r="B11" s="22">
        <v>-5028800</v>
      </c>
      <c r="C11" s="22">
        <v>-5042971</v>
      </c>
      <c r="D11" s="22">
        <v>-5139484</v>
      </c>
      <c r="E11" s="22">
        <v>-6259820</v>
      </c>
      <c r="F11" s="24">
        <v>-7390232</v>
      </c>
      <c r="G11" s="22">
        <f>-Assumptions!G125</f>
        <v>-8522719.8036948256</v>
      </c>
      <c r="H11" s="22">
        <f>-Assumptions!H125</f>
        <v>-9198002.2172895893</v>
      </c>
      <c r="I11" s="22">
        <f>-Assumptions!I125</f>
        <v>-9819410.8400638532</v>
      </c>
      <c r="J11" s="22">
        <f>-Assumptions!J125</f>
        <v>-10332280.089976048</v>
      </c>
      <c r="K11" s="24">
        <f>-Assumptions!K125</f>
        <v>-10879827.84014526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spans="1:21" ht="14" x14ac:dyDescent="0.3">
      <c r="A12" s="145" t="s">
        <v>202</v>
      </c>
      <c r="B12" s="22">
        <v>-5084078</v>
      </c>
      <c r="C12" s="22">
        <v>-2791907</v>
      </c>
      <c r="D12" s="22">
        <v>-557613</v>
      </c>
      <c r="E12" s="22">
        <v>-3836369</v>
      </c>
      <c r="F12" s="24">
        <v>-14386220</v>
      </c>
      <c r="G12" s="22">
        <f ca="1">-Assumptions!G143</f>
        <v>-4557439.581585573</v>
      </c>
      <c r="H12" s="22">
        <f ca="1">-Assumptions!H143</f>
        <v>-4755194.9254834866</v>
      </c>
      <c r="I12" s="22">
        <f ca="1">-Assumptions!I143</f>
        <v>-4616387.0386304744</v>
      </c>
      <c r="J12" s="22">
        <f ca="1">-Assumptions!J143</f>
        <v>-4599917.8031970747</v>
      </c>
      <c r="K12" s="24">
        <f ca="1">-Assumptions!K143</f>
        <v>-4561431.4477165081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spans="1:21" ht="14" x14ac:dyDescent="0.3">
      <c r="A13" s="145" t="s">
        <v>203</v>
      </c>
      <c r="B13" s="22">
        <v>507050</v>
      </c>
      <c r="C13" s="22">
        <v>557612</v>
      </c>
      <c r="D13" s="22">
        <v>582840</v>
      </c>
      <c r="E13" s="22">
        <v>575881</v>
      </c>
      <c r="F13" s="29">
        <v>1739760</v>
      </c>
      <c r="G13" s="22">
        <f ca="1">Assumptions!G177</f>
        <v>6677469.1409265921</v>
      </c>
      <c r="H13" s="22">
        <f ca="1">Assumptions!H177</f>
        <v>6180975.3835218791</v>
      </c>
      <c r="I13" s="22">
        <f ca="1">Assumptions!I177</f>
        <v>5302138.4906511018</v>
      </c>
      <c r="J13" s="22">
        <f ca="1">Assumptions!J177</f>
        <v>5732926.8776292745</v>
      </c>
      <c r="K13" s="24">
        <f ca="1">Assumptions!K177</f>
        <v>6150970.6385740275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21" ht="14" x14ac:dyDescent="0.3">
      <c r="A14" s="147" t="s">
        <v>204</v>
      </c>
      <c r="B14" s="76">
        <f>SUM(B9:B13)</f>
        <v>-663590</v>
      </c>
      <c r="C14" s="76">
        <f>SUM(C9:C13)</f>
        <v>431996</v>
      </c>
      <c r="D14" s="76">
        <f>SUM(D9:D13)</f>
        <v>-4375241</v>
      </c>
      <c r="E14" s="76">
        <f>SUM(E9:E13)</f>
        <v>6584879</v>
      </c>
      <c r="F14" s="155">
        <f>SUM(F9:F13)</f>
        <v>3274450</v>
      </c>
      <c r="G14" s="76">
        <f ca="1">G9+G10+G11+G12+G13</f>
        <v>3960988.3730292581</v>
      </c>
      <c r="H14" s="76">
        <f ca="1">H9+H10+H11+H12+H13</f>
        <v>6418548.4809664497</v>
      </c>
      <c r="I14" s="76">
        <f ca="1">I9+I10+I11+I12+I13</f>
        <v>4583122.0211883252</v>
      </c>
      <c r="J14" s="76">
        <f ca="1">J9+J10+J11+J12+J13</f>
        <v>4252708.3018933088</v>
      </c>
      <c r="K14" s="77">
        <f ca="1">K9+K10+K11+K12+K13</f>
        <v>3687151.1055348786</v>
      </c>
      <c r="L14" s="22"/>
      <c r="M14" s="22"/>
      <c r="N14" s="22"/>
      <c r="O14" s="22"/>
      <c r="P14" s="22"/>
      <c r="Q14" s="22"/>
      <c r="R14" s="22"/>
      <c r="S14" s="22"/>
      <c r="T14" s="22"/>
      <c r="U14" s="22"/>
    </row>
    <row r="15" spans="1:21" ht="14" x14ac:dyDescent="0.3">
      <c r="A15" s="163" t="s">
        <v>205</v>
      </c>
      <c r="B15" s="22">
        <v>-370159</v>
      </c>
      <c r="C15" s="22">
        <v>-1522768</v>
      </c>
      <c r="D15" s="22">
        <v>-1514063</v>
      </c>
      <c r="E15" s="22">
        <v>-834770</v>
      </c>
      <c r="F15" s="22">
        <v>-1358252</v>
      </c>
      <c r="G15" s="134">
        <f>-Assumptions!G155</f>
        <v>-825559.5</v>
      </c>
      <c r="H15" s="22">
        <f>-Assumptions!H155</f>
        <v>-825559.5</v>
      </c>
      <c r="I15" s="22">
        <f>-Assumptions!I155</f>
        <v>-825559.5</v>
      </c>
      <c r="J15" s="22">
        <f>-Assumptions!J155</f>
        <v>-825559.5</v>
      </c>
      <c r="K15" s="24">
        <f>-Assumptions!K155</f>
        <v>-825559.5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spans="1:21" ht="14" x14ac:dyDescent="0.3">
      <c r="A16" s="145" t="s">
        <v>206</v>
      </c>
      <c r="B16" s="22">
        <v>974075</v>
      </c>
      <c r="C16" s="22">
        <v>950806</v>
      </c>
      <c r="D16" s="22">
        <v>1074043</v>
      </c>
      <c r="E16" s="22">
        <v>858397</v>
      </c>
      <c r="F16" s="29">
        <v>998905</v>
      </c>
      <c r="G16" s="22">
        <f>Assumptions!G164</f>
        <v>1048850.25</v>
      </c>
      <c r="H16" s="22">
        <f>Assumptions!H164</f>
        <v>1101292.7625</v>
      </c>
      <c r="I16" s="22">
        <f>Assumptions!I164</f>
        <v>1156357.400625</v>
      </c>
      <c r="J16" s="22">
        <f>Assumptions!J164</f>
        <v>1214175.2706562502</v>
      </c>
      <c r="K16" s="24">
        <f>Assumptions!K164</f>
        <v>1274884.0341890627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 ht="14" x14ac:dyDescent="0.3">
      <c r="A17" s="147" t="s">
        <v>207</v>
      </c>
      <c r="B17" s="76">
        <f>B14+B15+B16</f>
        <v>-59674</v>
      </c>
      <c r="C17" s="76">
        <f>C14+C15+C16</f>
        <v>-139966</v>
      </c>
      <c r="D17" s="76">
        <f>D14+D15+D16</f>
        <v>-4815261</v>
      </c>
      <c r="E17" s="76">
        <f>E14+E15+E16</f>
        <v>6608506</v>
      </c>
      <c r="F17" s="76">
        <f>F14+F15+F16</f>
        <v>2915103</v>
      </c>
      <c r="G17" s="139">
        <f ca="1">G9+G10+G11+G12+G13+G15+G16</f>
        <v>4184279.1230292581</v>
      </c>
      <c r="H17" s="76">
        <f ca="1">H9+H10+H11+H12+H13+H15+H16</f>
        <v>6694281.7434664499</v>
      </c>
      <c r="I17" s="76">
        <f ca="1">I9+I10+I11+I12+I13+I15+I16</f>
        <v>4913919.921813325</v>
      </c>
      <c r="J17" s="76">
        <f ca="1">J9+J10+J11+J12+J13+J15+J16</f>
        <v>4641324.0725495592</v>
      </c>
      <c r="K17" s="77">
        <f ca="1">K9+K10+K11+K12+K13+K15+K16</f>
        <v>4136475.6397239412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</row>
    <row r="18" spans="1:21" ht="14" x14ac:dyDescent="0.3">
      <c r="A18" s="145" t="s">
        <v>208</v>
      </c>
      <c r="B18" s="22">
        <v>-1042311</v>
      </c>
      <c r="C18" s="22">
        <v>-1345801</v>
      </c>
      <c r="D18" s="22">
        <v>-5766</v>
      </c>
      <c r="E18" s="22">
        <v>-2141651</v>
      </c>
      <c r="F18" s="24">
        <v>-2987416</v>
      </c>
      <c r="G18" s="22">
        <f ca="1">-Assumptions!G166</f>
        <v>-6380197.4496936277</v>
      </c>
      <c r="H18" s="22">
        <f ca="1">-Assumptions!H166</f>
        <v>-7459896.2637570379</v>
      </c>
      <c r="I18" s="22">
        <f ca="1">-Assumptions!I166</f>
        <v>-8808199.0925565604</v>
      </c>
      <c r="J18" s="22">
        <f ca="1">-Assumptions!J166</f>
        <v>-10774058.944829844</v>
      </c>
      <c r="K18" s="24">
        <f ca="1">-Assumptions!K166</f>
        <v>-13175864.675658407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</row>
    <row r="19" spans="1:21" ht="14" x14ac:dyDescent="0.3">
      <c r="A19" s="147" t="s">
        <v>209</v>
      </c>
      <c r="B19" s="76">
        <f t="shared" ref="B19:K19" si="1">B17+B18</f>
        <v>-1101985</v>
      </c>
      <c r="C19" s="76">
        <f t="shared" si="1"/>
        <v>-1485767</v>
      </c>
      <c r="D19" s="76">
        <f t="shared" si="1"/>
        <v>-4821027</v>
      </c>
      <c r="E19" s="76">
        <f t="shared" si="1"/>
        <v>4466855</v>
      </c>
      <c r="F19" s="77">
        <f t="shared" si="1"/>
        <v>-72313</v>
      </c>
      <c r="G19" s="76">
        <f t="shared" ca="1" si="1"/>
        <v>-2195918.3266643696</v>
      </c>
      <c r="H19" s="76">
        <f t="shared" ca="1" si="1"/>
        <v>-765614.52029058803</v>
      </c>
      <c r="I19" s="76">
        <f t="shared" ca="1" si="1"/>
        <v>-3894279.1707432354</v>
      </c>
      <c r="J19" s="76">
        <f t="shared" ca="1" si="1"/>
        <v>-6132734.8722802848</v>
      </c>
      <c r="K19" s="77">
        <f t="shared" ca="1" si="1"/>
        <v>-9039389.035934465</v>
      </c>
      <c r="L19" s="149"/>
      <c r="M19" s="149"/>
      <c r="N19" s="149"/>
      <c r="O19" s="149"/>
      <c r="P19" s="149"/>
      <c r="Q19" s="149"/>
      <c r="R19" s="149"/>
      <c r="S19" s="149"/>
      <c r="T19" s="149"/>
      <c r="U19" s="149"/>
    </row>
    <row r="20" spans="1:21" ht="14" x14ac:dyDescent="0.3">
      <c r="A20" s="147"/>
      <c r="B20" s="108"/>
      <c r="C20" s="108"/>
      <c r="D20" s="108"/>
      <c r="E20" s="108"/>
      <c r="F20" s="164"/>
      <c r="G20" s="85"/>
      <c r="H20" s="85"/>
      <c r="I20" s="85"/>
      <c r="J20" s="85"/>
      <c r="K20" s="86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spans="1:21" ht="14" x14ac:dyDescent="0.3">
      <c r="A21" s="145" t="s">
        <v>31</v>
      </c>
      <c r="B21" s="25">
        <f>B19/A29</f>
        <v>-10.297738491464129</v>
      </c>
      <c r="C21" s="25">
        <f>C19/A29</f>
        <v>-13.884072855117976</v>
      </c>
      <c r="D21" s="25">
        <f>D19/A28</f>
        <v>-31.185854998217156</v>
      </c>
      <c r="E21" s="25">
        <f>E19/A27</f>
        <v>21.8835917288704</v>
      </c>
      <c r="F21" s="26">
        <f>F19/A26</f>
        <v>-0.33787227754154797</v>
      </c>
      <c r="G21" s="25">
        <f ca="1">G19/$A$26</f>
        <v>-10.260118185185451</v>
      </c>
      <c r="H21" s="25">
        <f ca="1">H19/$A$26</f>
        <v>-3.5772256950957737</v>
      </c>
      <c r="I21" s="25">
        <f ca="1">I19/$A$26</f>
        <v>-18.195469318125756</v>
      </c>
      <c r="J21" s="25">
        <f ca="1">J19/$A$26</f>
        <v>-28.654337378560069</v>
      </c>
      <c r="K21" s="26">
        <f ca="1">K19/$A$26</f>
        <v>-42.235268363299483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1:21" ht="14" x14ac:dyDescent="0.3">
      <c r="A22" s="145" t="s">
        <v>32</v>
      </c>
      <c r="B22" s="22">
        <v>7</v>
      </c>
      <c r="C22" s="22">
        <v>0</v>
      </c>
      <c r="D22" s="22">
        <v>0</v>
      </c>
      <c r="E22" s="22">
        <v>0</v>
      </c>
      <c r="F22" s="24">
        <v>3</v>
      </c>
      <c r="G22" s="22">
        <f>F22</f>
        <v>3</v>
      </c>
      <c r="H22" s="22">
        <f>G22</f>
        <v>3</v>
      </c>
      <c r="I22" s="22">
        <f>H22</f>
        <v>3</v>
      </c>
      <c r="J22" s="22">
        <f>I22</f>
        <v>3</v>
      </c>
      <c r="K22" s="24">
        <f>J22</f>
        <v>3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1:21" ht="14" x14ac:dyDescent="0.3">
      <c r="A23" s="145" t="s">
        <v>210</v>
      </c>
      <c r="B23" s="70">
        <f>B22/B21</f>
        <v>-0.679760901464176</v>
      </c>
      <c r="C23" s="70">
        <f>C22/C21</f>
        <v>0</v>
      </c>
      <c r="D23" s="70">
        <f>D22/D21</f>
        <v>0</v>
      </c>
      <c r="E23" s="70">
        <f>E22/E21</f>
        <v>0</v>
      </c>
      <c r="F23" s="71">
        <f>F22/F21</f>
        <v>-8.8790948515481318</v>
      </c>
      <c r="G23" s="70">
        <f>20%</f>
        <v>0.2</v>
      </c>
      <c r="H23" s="70">
        <f>G23</f>
        <v>0.2</v>
      </c>
      <c r="I23" s="70">
        <f>H23</f>
        <v>0.2</v>
      </c>
      <c r="J23" s="70">
        <f>I23</f>
        <v>0.2</v>
      </c>
      <c r="K23" s="71">
        <f>J23</f>
        <v>0.2</v>
      </c>
      <c r="L23" s="22"/>
      <c r="M23" s="22"/>
      <c r="N23" s="22"/>
      <c r="O23" s="22"/>
      <c r="P23" s="22"/>
      <c r="Q23" s="22"/>
      <c r="R23" s="22"/>
      <c r="S23" s="22"/>
      <c r="T23" s="22"/>
      <c r="U23" s="22"/>
    </row>
    <row r="24" spans="1:21" ht="14" x14ac:dyDescent="0.3">
      <c r="A24" s="145" t="s">
        <v>211</v>
      </c>
      <c r="B24" s="22">
        <v>2505550</v>
      </c>
      <c r="C24" s="22">
        <v>13324</v>
      </c>
      <c r="D24" s="22">
        <v>2773</v>
      </c>
      <c r="E24" s="22">
        <v>23038</v>
      </c>
      <c r="F24" s="24">
        <v>148134</v>
      </c>
      <c r="G24" s="22">
        <f>G22*$A$26</f>
        <v>642073.98600000003</v>
      </c>
      <c r="H24" s="22">
        <f>H22*$A$26</f>
        <v>642073.98600000003</v>
      </c>
      <c r="I24" s="22">
        <f>I22*$A$26</f>
        <v>642073.98600000003</v>
      </c>
      <c r="J24" s="22">
        <f>J22*$A$26</f>
        <v>642073.98600000003</v>
      </c>
      <c r="K24" s="24">
        <f>K22*$A$26</f>
        <v>642073.98600000003</v>
      </c>
      <c r="L24" s="22"/>
      <c r="M24" s="22"/>
      <c r="N24" s="22"/>
      <c r="O24" s="22"/>
      <c r="P24" s="22"/>
      <c r="Q24" s="22"/>
      <c r="R24" s="22"/>
      <c r="S24" s="22"/>
      <c r="T24" s="22"/>
      <c r="U24" s="22"/>
    </row>
    <row r="25" spans="1:21" ht="14" x14ac:dyDescent="0.3">
      <c r="A25" s="145" t="s">
        <v>210</v>
      </c>
      <c r="B25" s="22"/>
      <c r="C25" s="22"/>
      <c r="D25" s="22"/>
      <c r="E25" s="22"/>
      <c r="F25" s="24"/>
      <c r="G25" s="22"/>
      <c r="H25" s="22"/>
      <c r="I25" s="22"/>
      <c r="J25" s="22"/>
      <c r="K25" s="24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1" ht="14" x14ac:dyDescent="0.3">
      <c r="A26" s="165">
        <f>Assumptions!F157/1000</f>
        <v>214024.66200000001</v>
      </c>
      <c r="B26" s="166" t="s">
        <v>212</v>
      </c>
      <c r="C26" s="22"/>
      <c r="D26" s="22"/>
      <c r="E26" s="22"/>
      <c r="F26" s="24"/>
      <c r="G26" s="22"/>
      <c r="H26" s="22"/>
      <c r="I26" s="22"/>
      <c r="J26" s="22"/>
      <c r="K26" s="24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spans="1:21" ht="14" x14ac:dyDescent="0.3">
      <c r="A27" s="165">
        <f>Assumptions!E157/1000</f>
        <v>204118.91500000001</v>
      </c>
      <c r="B27" s="167" t="s">
        <v>213</v>
      </c>
      <c r="C27" s="22"/>
      <c r="D27" s="22"/>
      <c r="E27" s="22"/>
      <c r="F27" s="24"/>
      <c r="G27" s="22"/>
      <c r="H27" s="22"/>
      <c r="I27" s="22"/>
      <c r="J27" s="22"/>
      <c r="K27" s="24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spans="1:21" ht="14" x14ac:dyDescent="0.3">
      <c r="A28" s="165">
        <f>Assumptions!D157/1000</f>
        <v>154590.182</v>
      </c>
      <c r="B28" s="167" t="s">
        <v>214</v>
      </c>
      <c r="C28" s="22"/>
      <c r="D28" s="22"/>
      <c r="E28" s="22"/>
      <c r="F28" s="24"/>
      <c r="G28" s="22"/>
      <c r="H28" s="22"/>
      <c r="I28" s="22"/>
      <c r="J28" s="22"/>
      <c r="K28" s="24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spans="1:21" ht="14" x14ac:dyDescent="0.3">
      <c r="A29" s="168">
        <f>Assumptions!C157/1000</f>
        <v>107012.33100000001</v>
      </c>
      <c r="B29" s="169" t="s">
        <v>215</v>
      </c>
      <c r="C29" s="28"/>
      <c r="D29" s="28"/>
      <c r="E29" s="28"/>
      <c r="F29" s="29"/>
      <c r="G29" s="28"/>
      <c r="H29" s="28"/>
      <c r="I29" s="28"/>
      <c r="J29" s="28"/>
      <c r="K29" s="29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1:21" ht="14" x14ac:dyDescent="0.3">
      <c r="A30" s="96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spans="1:21" ht="14" x14ac:dyDescent="0.3">
      <c r="A31" s="170" t="s">
        <v>216</v>
      </c>
      <c r="B31" s="85"/>
      <c r="C31" s="85"/>
      <c r="D31" s="85"/>
      <c r="E31" s="85"/>
      <c r="F31" s="86"/>
      <c r="G31" s="85"/>
      <c r="H31" s="85"/>
      <c r="I31" s="85"/>
      <c r="J31" s="85"/>
      <c r="K31" s="86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1:21" ht="14" x14ac:dyDescent="0.3">
      <c r="A32" s="147" t="s">
        <v>217</v>
      </c>
      <c r="B32" s="22"/>
      <c r="C32" s="22"/>
      <c r="D32" s="22"/>
      <c r="E32" s="22"/>
      <c r="F32" s="24"/>
      <c r="G32" s="22"/>
      <c r="H32" s="22"/>
      <c r="I32" s="22"/>
      <c r="J32" s="22"/>
      <c r="K32" s="24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spans="1:21" ht="14" x14ac:dyDescent="0.3">
      <c r="A33" s="145" t="s">
        <v>218</v>
      </c>
      <c r="B33" s="22">
        <v>11767843</v>
      </c>
      <c r="C33" s="22">
        <v>13176996</v>
      </c>
      <c r="D33" s="22">
        <v>14958627</v>
      </c>
      <c r="E33" s="22">
        <v>17841942</v>
      </c>
      <c r="F33" s="24">
        <v>20579301</v>
      </c>
      <c r="G33" s="22">
        <f>G44+G45</f>
        <v>23804466.028413519</v>
      </c>
      <c r="H33" s="22">
        <f>H44+H45</f>
        <v>27023787.524437919</v>
      </c>
      <c r="I33" s="22">
        <f>I44+I45</f>
        <v>30678775.798612904</v>
      </c>
      <c r="J33" s="22">
        <f>J44+J45</f>
        <v>34828389.094723247</v>
      </c>
      <c r="K33" s="24">
        <f>K44+K45</f>
        <v>39539564.402431317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1:21" ht="14" hidden="1" x14ac:dyDescent="0.3">
      <c r="A34" s="163" t="s">
        <v>219</v>
      </c>
      <c r="B34" s="22"/>
      <c r="C34" s="22"/>
      <c r="D34" s="22"/>
      <c r="E34" s="22"/>
      <c r="F34" s="24"/>
      <c r="G34" s="22"/>
      <c r="H34" s="22"/>
      <c r="I34" s="22"/>
      <c r="J34" s="22"/>
      <c r="K34" s="24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1:21" ht="14" hidden="1" x14ac:dyDescent="0.3">
      <c r="A35" s="163" t="s">
        <v>220</v>
      </c>
      <c r="B35" s="22">
        <v>17190646</v>
      </c>
      <c r="C35" s="22">
        <v>18967775</v>
      </c>
      <c r="D35" s="22">
        <v>20772158</v>
      </c>
      <c r="E35" s="22">
        <v>21179221</v>
      </c>
      <c r="F35" s="22">
        <f t="shared" ref="F35:K35" si="2">E38</f>
        <v>25478591</v>
      </c>
      <c r="G35" s="134">
        <f t="shared" si="2"/>
        <v>29793466</v>
      </c>
      <c r="H35" s="22">
        <f t="shared" si="2"/>
        <v>33825378.736329235</v>
      </c>
      <c r="I35" s="22">
        <f t="shared" si="2"/>
        <v>38402925.213740289</v>
      </c>
      <c r="J35" s="22">
        <f t="shared" si="2"/>
        <v>43599945.368480884</v>
      </c>
      <c r="K35" s="24">
        <f t="shared" si="2"/>
        <v>49500271.803627335</v>
      </c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1:21" ht="14" hidden="1" x14ac:dyDescent="0.3">
      <c r="A36" s="163" t="s">
        <v>221</v>
      </c>
      <c r="B36" s="22">
        <v>1803692</v>
      </c>
      <c r="C36" s="22">
        <v>1935397</v>
      </c>
      <c r="D36" s="22">
        <v>1297581</v>
      </c>
      <c r="E36" s="22">
        <v>4550067</v>
      </c>
      <c r="F36" s="22">
        <v>4901601</v>
      </c>
      <c r="G36" s="134">
        <f>G35*G47</f>
        <v>4031912.7363292384</v>
      </c>
      <c r="H36" s="22">
        <f>H35*H47</f>
        <v>4577546.477411055</v>
      </c>
      <c r="I36" s="22">
        <f>I35*I47</f>
        <v>5197020.1547405971</v>
      </c>
      <c r="J36" s="22">
        <f>J35*J47</f>
        <v>5900326.4351464538</v>
      </c>
      <c r="K36" s="24">
        <f>K35*K47</f>
        <v>6698810.2806435525</v>
      </c>
      <c r="L36" s="22"/>
      <c r="M36" s="22"/>
      <c r="N36" s="22"/>
      <c r="O36" s="22"/>
      <c r="P36" s="22"/>
      <c r="Q36" s="22"/>
      <c r="R36" s="22"/>
      <c r="S36" s="22"/>
      <c r="T36" s="22"/>
      <c r="U36" s="22"/>
    </row>
    <row r="37" spans="1:21" ht="14" hidden="1" x14ac:dyDescent="0.3">
      <c r="A37" s="163" t="s">
        <v>222</v>
      </c>
      <c r="B37" s="22">
        <v>26563</v>
      </c>
      <c r="C37" s="22">
        <v>131014</v>
      </c>
      <c r="D37" s="22">
        <v>890518</v>
      </c>
      <c r="E37" s="22">
        <v>250697</v>
      </c>
      <c r="F37" s="22">
        <v>586726</v>
      </c>
      <c r="G37" s="134">
        <v>0</v>
      </c>
      <c r="H37" s="22">
        <v>0</v>
      </c>
      <c r="I37" s="22">
        <v>0</v>
      </c>
      <c r="J37" s="22">
        <v>0</v>
      </c>
      <c r="K37" s="24">
        <v>0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</row>
    <row r="38" spans="1:21" ht="14" hidden="1" x14ac:dyDescent="0.3">
      <c r="A38" s="163" t="s">
        <v>223</v>
      </c>
      <c r="B38" s="22">
        <f t="shared" ref="B38:K38" si="3">B35+B36-B37</f>
        <v>18967775</v>
      </c>
      <c r="C38" s="22">
        <f t="shared" si="3"/>
        <v>20772158</v>
      </c>
      <c r="D38" s="22">
        <f t="shared" si="3"/>
        <v>21179221</v>
      </c>
      <c r="E38" s="22">
        <f t="shared" si="3"/>
        <v>25478591</v>
      </c>
      <c r="F38" s="22">
        <f t="shared" si="3"/>
        <v>29793466</v>
      </c>
      <c r="G38" s="134">
        <f t="shared" si="3"/>
        <v>33825378.736329235</v>
      </c>
      <c r="H38" s="22">
        <f t="shared" si="3"/>
        <v>38402925.213740289</v>
      </c>
      <c r="I38" s="22">
        <f t="shared" si="3"/>
        <v>43599945.368480884</v>
      </c>
      <c r="J38" s="22">
        <f t="shared" si="3"/>
        <v>49500271.803627335</v>
      </c>
      <c r="K38" s="24">
        <f t="shared" si="3"/>
        <v>56199082.084270887</v>
      </c>
      <c r="L38" s="22"/>
      <c r="M38" s="22"/>
      <c r="N38" s="22"/>
      <c r="O38" s="22"/>
      <c r="P38" s="22"/>
      <c r="Q38" s="22"/>
      <c r="R38" s="22"/>
      <c r="S38" s="22"/>
      <c r="T38" s="22"/>
      <c r="U38" s="22"/>
    </row>
    <row r="39" spans="1:21" ht="14" hidden="1" x14ac:dyDescent="0.3">
      <c r="A39" s="163" t="s">
        <v>224</v>
      </c>
      <c r="B39" s="22"/>
      <c r="C39" s="22"/>
      <c r="D39" s="22"/>
      <c r="E39" s="22"/>
      <c r="F39" s="22"/>
      <c r="G39" s="134"/>
      <c r="H39" s="22"/>
      <c r="I39" s="22"/>
      <c r="J39" s="22"/>
      <c r="K39" s="24"/>
      <c r="L39" s="22"/>
      <c r="M39" s="22"/>
      <c r="N39" s="22"/>
      <c r="O39" s="22"/>
      <c r="P39" s="22"/>
      <c r="Q39" s="22"/>
      <c r="R39" s="22"/>
      <c r="S39" s="22"/>
      <c r="T39" s="22"/>
      <c r="U39" s="22"/>
    </row>
    <row r="40" spans="1:21" ht="14" hidden="1" x14ac:dyDescent="0.3">
      <c r="A40" s="163" t="s">
        <v>220</v>
      </c>
      <c r="B40" s="22">
        <v>8738387</v>
      </c>
      <c r="C40" s="22">
        <v>9667289</v>
      </c>
      <c r="D40" s="22">
        <v>10625475</v>
      </c>
      <c r="E40" s="22">
        <v>11071801</v>
      </c>
      <c r="F40" s="22">
        <v>12190111</v>
      </c>
      <c r="G40" s="134">
        <f>F43</f>
        <v>13819915</v>
      </c>
      <c r="H40" s="22">
        <f>G43</f>
        <v>15692254.241432756</v>
      </c>
      <c r="I40" s="22">
        <f>H43</f>
        <v>17817974.82608559</v>
      </c>
      <c r="J40" s="22">
        <f>I43</f>
        <v>20231366.536318075</v>
      </c>
      <c r="K40" s="24">
        <f>J43</f>
        <v>22971359.548132516</v>
      </c>
      <c r="L40" s="22"/>
      <c r="M40" s="22"/>
      <c r="N40" s="22"/>
      <c r="O40" s="22"/>
      <c r="P40" s="22"/>
      <c r="Q40" s="22"/>
      <c r="R40" s="22"/>
      <c r="S40" s="22"/>
      <c r="T40" s="22"/>
      <c r="U40" s="22"/>
    </row>
    <row r="41" spans="1:21" ht="14" hidden="1" x14ac:dyDescent="0.3">
      <c r="A41" s="163" t="s">
        <v>225</v>
      </c>
      <c r="B41" s="22">
        <f>954418+866</f>
        <v>955284</v>
      </c>
      <c r="C41" s="22">
        <f>1075368-3897</f>
        <v>1071471</v>
      </c>
      <c r="D41" s="22">
        <f>1246091-57733</f>
        <v>1188358</v>
      </c>
      <c r="E41" s="22">
        <f>1398476-87319</f>
        <v>1311157</v>
      </c>
      <c r="F41" s="22">
        <f>1858199+145385</f>
        <v>2003584</v>
      </c>
      <c r="G41" s="134">
        <f>G38*G48</f>
        <v>1872339.2414327562</v>
      </c>
      <c r="H41" s="22">
        <f>H38*H48</f>
        <v>2125720.584652835</v>
      </c>
      <c r="I41" s="22">
        <f>I38*I48</f>
        <v>2413391.7102324842</v>
      </c>
      <c r="J41" s="22">
        <f>J38*J48</f>
        <v>2739993.0118144401</v>
      </c>
      <c r="K41" s="24">
        <f>K38*K48</f>
        <v>3110792.861747568</v>
      </c>
      <c r="L41" s="22"/>
      <c r="M41" s="22"/>
      <c r="N41" s="22"/>
      <c r="O41" s="22"/>
      <c r="P41" s="22"/>
      <c r="Q41" s="22"/>
      <c r="R41" s="22"/>
      <c r="S41" s="22"/>
      <c r="T41" s="22"/>
      <c r="U41" s="22"/>
    </row>
    <row r="42" spans="1:21" ht="14" hidden="1" x14ac:dyDescent="0.3">
      <c r="A42" s="163" t="s">
        <v>222</v>
      </c>
      <c r="B42" s="22">
        <v>26382</v>
      </c>
      <c r="C42" s="22">
        <v>113285</v>
      </c>
      <c r="D42" s="22">
        <v>742032</v>
      </c>
      <c r="E42" s="22">
        <v>192847</v>
      </c>
      <c r="F42" s="22">
        <v>373780</v>
      </c>
      <c r="G42" s="134">
        <v>0</v>
      </c>
      <c r="H42" s="22">
        <v>0</v>
      </c>
      <c r="I42" s="22">
        <v>0</v>
      </c>
      <c r="J42" s="22">
        <v>0</v>
      </c>
      <c r="K42" s="24">
        <v>0</v>
      </c>
      <c r="L42" s="22"/>
      <c r="M42" s="22"/>
      <c r="N42" s="22"/>
      <c r="O42" s="22"/>
      <c r="P42" s="22"/>
      <c r="Q42" s="22"/>
      <c r="R42" s="22"/>
      <c r="S42" s="22"/>
      <c r="T42" s="22"/>
      <c r="U42" s="22"/>
    </row>
    <row r="43" spans="1:21" ht="14" hidden="1" x14ac:dyDescent="0.3">
      <c r="A43" s="163" t="s">
        <v>223</v>
      </c>
      <c r="B43" s="22">
        <f t="shared" ref="B43:K43" si="4">B40+B41-B42</f>
        <v>9667289</v>
      </c>
      <c r="C43" s="22">
        <f t="shared" si="4"/>
        <v>10625475</v>
      </c>
      <c r="D43" s="22">
        <f t="shared" si="4"/>
        <v>11071801</v>
      </c>
      <c r="E43" s="22">
        <f t="shared" si="4"/>
        <v>12190111</v>
      </c>
      <c r="F43" s="22">
        <f t="shared" si="4"/>
        <v>13819915</v>
      </c>
      <c r="G43" s="134">
        <f t="shared" si="4"/>
        <v>15692254.241432756</v>
      </c>
      <c r="H43" s="22">
        <f t="shared" si="4"/>
        <v>17817974.82608559</v>
      </c>
      <c r="I43" s="22">
        <f t="shared" si="4"/>
        <v>20231366.536318075</v>
      </c>
      <c r="J43" s="22">
        <f t="shared" si="4"/>
        <v>22971359.548132516</v>
      </c>
      <c r="K43" s="24">
        <f t="shared" si="4"/>
        <v>26082152.409880083</v>
      </c>
      <c r="L43" s="22"/>
      <c r="M43" s="22"/>
      <c r="N43" s="22"/>
      <c r="O43" s="22"/>
      <c r="P43" s="22"/>
      <c r="Q43" s="22"/>
      <c r="R43" s="22"/>
      <c r="S43" s="22"/>
      <c r="T43" s="22"/>
      <c r="U43" s="22"/>
    </row>
    <row r="44" spans="1:21" ht="14" hidden="1" x14ac:dyDescent="0.3">
      <c r="A44" s="163" t="s">
        <v>226</v>
      </c>
      <c r="B44" s="85">
        <f t="shared" ref="B44:K44" si="5">B38-B43</f>
        <v>9300486</v>
      </c>
      <c r="C44" s="85">
        <f t="shared" si="5"/>
        <v>10146683</v>
      </c>
      <c r="D44" s="85">
        <f t="shared" si="5"/>
        <v>10107420</v>
      </c>
      <c r="E44" s="85">
        <f t="shared" si="5"/>
        <v>13288480</v>
      </c>
      <c r="F44" s="85">
        <f t="shared" si="5"/>
        <v>15973551</v>
      </c>
      <c r="G44" s="171">
        <f t="shared" si="5"/>
        <v>18133124.494896479</v>
      </c>
      <c r="H44" s="85">
        <f t="shared" si="5"/>
        <v>20584950.387654699</v>
      </c>
      <c r="I44" s="85">
        <f t="shared" si="5"/>
        <v>23368578.832162809</v>
      </c>
      <c r="J44" s="85">
        <f t="shared" si="5"/>
        <v>26528912.255494818</v>
      </c>
      <c r="K44" s="86">
        <f t="shared" si="5"/>
        <v>30116929.674390804</v>
      </c>
      <c r="L44" s="22"/>
      <c r="M44" s="22"/>
      <c r="N44" s="22"/>
      <c r="O44" s="22"/>
      <c r="P44" s="22"/>
      <c r="Q44" s="22"/>
      <c r="R44" s="22"/>
      <c r="S44" s="22"/>
      <c r="T44" s="22"/>
      <c r="U44" s="22"/>
    </row>
    <row r="45" spans="1:21" ht="14" hidden="1" x14ac:dyDescent="0.3">
      <c r="A45" s="163" t="s">
        <v>227</v>
      </c>
      <c r="B45" s="22">
        <v>2467357</v>
      </c>
      <c r="C45" s="22">
        <v>3030313</v>
      </c>
      <c r="D45" s="22">
        <v>4851207</v>
      </c>
      <c r="E45" s="22">
        <v>4553462</v>
      </c>
      <c r="F45" s="22">
        <v>4605750</v>
      </c>
      <c r="G45" s="134">
        <f>G38*G49</f>
        <v>5671341.5335170403</v>
      </c>
      <c r="H45" s="22">
        <f>H38*H49</f>
        <v>6438837.136783218</v>
      </c>
      <c r="I45" s="22">
        <f>I38*I49</f>
        <v>7310196.9664500961</v>
      </c>
      <c r="J45" s="22">
        <f>J38*J49</f>
        <v>8299476.8392284261</v>
      </c>
      <c r="K45" s="24">
        <f>K38*K49</f>
        <v>9422634.7280405108</v>
      </c>
      <c r="L45" s="22"/>
      <c r="M45" s="22"/>
      <c r="N45" s="22"/>
      <c r="O45" s="22"/>
      <c r="P45" s="22"/>
      <c r="Q45" s="22"/>
      <c r="R45" s="22"/>
      <c r="S45" s="22"/>
      <c r="T45" s="22"/>
      <c r="U45" s="22"/>
    </row>
    <row r="46" spans="1:21" ht="14" hidden="1" x14ac:dyDescent="0.3">
      <c r="A46" s="163"/>
      <c r="B46" s="22"/>
      <c r="C46" s="22"/>
      <c r="D46" s="22"/>
      <c r="E46" s="22"/>
      <c r="F46" s="22"/>
      <c r="G46" s="134"/>
      <c r="H46" s="22"/>
      <c r="I46" s="22"/>
      <c r="J46" s="22"/>
      <c r="K46" s="24"/>
      <c r="L46" s="22"/>
      <c r="M46" s="22"/>
      <c r="N46" s="22"/>
      <c r="O46" s="22"/>
      <c r="P46" s="22"/>
      <c r="Q46" s="22"/>
      <c r="R46" s="22"/>
      <c r="S46" s="22"/>
      <c r="T46" s="22"/>
      <c r="U46" s="22"/>
    </row>
    <row r="47" spans="1:21" ht="14" hidden="1" x14ac:dyDescent="0.3">
      <c r="A47" s="163" t="s">
        <v>228</v>
      </c>
      <c r="B47" s="142">
        <f>B36/B35</f>
        <v>0.1049228749169752</v>
      </c>
      <c r="C47" s="142">
        <f>C36/C35</f>
        <v>0.10203605852557825</v>
      </c>
      <c r="D47" s="142">
        <f>D36/D35</f>
        <v>6.2467318032146682E-2</v>
      </c>
      <c r="E47" s="142">
        <f>E36/E35</f>
        <v>0.21483637193265984</v>
      </c>
      <c r="F47" s="142">
        <f>F36/F35</f>
        <v>0.19238116424883936</v>
      </c>
      <c r="G47" s="172">
        <f>AVERAGE(B47:F47)</f>
        <v>0.13532875753123985</v>
      </c>
      <c r="H47" s="142">
        <f t="shared" ref="H47:K49" si="6">G47</f>
        <v>0.13532875753123985</v>
      </c>
      <c r="I47" s="142">
        <f t="shared" si="6"/>
        <v>0.13532875753123985</v>
      </c>
      <c r="J47" s="142">
        <f t="shared" si="6"/>
        <v>0.13532875753123985</v>
      </c>
      <c r="K47" s="143">
        <f t="shared" si="6"/>
        <v>0.13532875753123985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</row>
    <row r="48" spans="1:21" ht="14" hidden="1" x14ac:dyDescent="0.3">
      <c r="A48" s="163" t="s">
        <v>229</v>
      </c>
      <c r="B48" s="142">
        <f>B41/B38</f>
        <v>5.0363524451339181E-2</v>
      </c>
      <c r="C48" s="142">
        <f>C41/C38</f>
        <v>5.1582074428665525E-2</v>
      </c>
      <c r="D48" s="142">
        <f>D41/D38</f>
        <v>5.6109618007196771E-2</v>
      </c>
      <c r="E48" s="142">
        <f>E41/E38</f>
        <v>5.1461126716151613E-2</v>
      </c>
      <c r="F48" s="142">
        <f>F41/F38</f>
        <v>6.7249107572781228E-2</v>
      </c>
      <c r="G48" s="172">
        <f>AVERAGE(B48:F48)</f>
        <v>5.5353090235226866E-2</v>
      </c>
      <c r="H48" s="142">
        <f t="shared" si="6"/>
        <v>5.5353090235226866E-2</v>
      </c>
      <c r="I48" s="142">
        <f t="shared" si="6"/>
        <v>5.5353090235226866E-2</v>
      </c>
      <c r="J48" s="142">
        <f t="shared" si="6"/>
        <v>5.5353090235226866E-2</v>
      </c>
      <c r="K48" s="143">
        <f t="shared" si="6"/>
        <v>5.5353090235226866E-2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</row>
    <row r="49" spans="1:21" ht="14" hidden="1" x14ac:dyDescent="0.3">
      <c r="A49" s="163" t="s">
        <v>230</v>
      </c>
      <c r="B49" s="142">
        <f>B45/B38</f>
        <v>0.13008151984088803</v>
      </c>
      <c r="C49" s="142">
        <f>C45/C38</f>
        <v>0.14588339834503472</v>
      </c>
      <c r="D49" s="142">
        <f>D45/D38</f>
        <v>0.22905502520607343</v>
      </c>
      <c r="E49" s="142">
        <f>E45/E38</f>
        <v>0.17871718259459482</v>
      </c>
      <c r="F49" s="142">
        <f>F45/F38</f>
        <v>0.1545892646394347</v>
      </c>
      <c r="G49" s="172">
        <f>AVERAGE(B49:F49)</f>
        <v>0.16766527812520512</v>
      </c>
      <c r="H49" s="142">
        <f t="shared" si="6"/>
        <v>0.16766527812520512</v>
      </c>
      <c r="I49" s="142">
        <f t="shared" si="6"/>
        <v>0.16766527812520512</v>
      </c>
      <c r="J49" s="142">
        <f t="shared" si="6"/>
        <v>0.16766527812520512</v>
      </c>
      <c r="K49" s="143">
        <f t="shared" si="6"/>
        <v>0.16766527812520512</v>
      </c>
      <c r="L49" s="22"/>
      <c r="M49" s="22"/>
      <c r="N49" s="22"/>
      <c r="O49" s="22"/>
      <c r="P49" s="22"/>
      <c r="Q49" s="22"/>
      <c r="R49" s="22"/>
      <c r="S49" s="22"/>
      <c r="T49" s="22"/>
      <c r="U49" s="22"/>
    </row>
    <row r="50" spans="1:21" ht="14" hidden="1" x14ac:dyDescent="0.3">
      <c r="A50" s="163"/>
      <c r="B50" s="22"/>
      <c r="C50" s="22"/>
      <c r="D50" s="22"/>
      <c r="E50" s="22"/>
      <c r="F50" s="24"/>
      <c r="G50" s="22"/>
      <c r="H50" s="22"/>
      <c r="I50" s="22"/>
      <c r="J50" s="22"/>
      <c r="K50" s="24"/>
      <c r="L50" s="22"/>
      <c r="M50" s="22"/>
      <c r="N50" s="22"/>
      <c r="O50" s="22"/>
      <c r="P50" s="22"/>
      <c r="Q50" s="22"/>
      <c r="R50" s="22"/>
      <c r="S50" s="22"/>
      <c r="T50" s="22"/>
      <c r="U50" s="22"/>
    </row>
    <row r="51" spans="1:21" ht="14" x14ac:dyDescent="0.3">
      <c r="A51" s="163" t="s">
        <v>231</v>
      </c>
      <c r="B51" s="22">
        <v>0</v>
      </c>
      <c r="C51" s="22">
        <v>4861724</v>
      </c>
      <c r="D51" s="22">
        <v>5174286</v>
      </c>
      <c r="E51" s="22">
        <v>5896843</v>
      </c>
      <c r="F51" s="22">
        <v>6453393</v>
      </c>
      <c r="G51" s="134">
        <f>F51-Assumptions!G88-Assumptions!G123</f>
        <v>5663756</v>
      </c>
      <c r="H51" s="22">
        <f>G51-Assumptions!H88-Assumptions!H123</f>
        <v>4874119</v>
      </c>
      <c r="I51" s="22">
        <f>H51-Assumptions!I88-Assumptions!I123</f>
        <v>4084482</v>
      </c>
      <c r="J51" s="22">
        <f>I51-Assumptions!J88-Assumptions!J123</f>
        <v>3294845</v>
      </c>
      <c r="K51" s="24">
        <f>J51-Assumptions!K88-Assumptions!K123</f>
        <v>2505208</v>
      </c>
      <c r="L51" s="22"/>
      <c r="M51" s="22"/>
      <c r="N51" s="22"/>
      <c r="O51" s="22"/>
      <c r="P51" s="22"/>
      <c r="Q51" s="22"/>
      <c r="R51" s="22"/>
      <c r="S51" s="22"/>
      <c r="T51" s="22"/>
      <c r="U51" s="22"/>
    </row>
    <row r="52" spans="1:21" ht="14" x14ac:dyDescent="0.3">
      <c r="A52" s="163" t="s">
        <v>232</v>
      </c>
      <c r="B52" s="22">
        <v>14709</v>
      </c>
      <c r="C52" s="22">
        <v>11557</v>
      </c>
      <c r="D52" s="22">
        <v>8405</v>
      </c>
      <c r="E52" s="22">
        <v>5253</v>
      </c>
      <c r="F52" s="22">
        <v>2101</v>
      </c>
      <c r="G52" s="134">
        <f>G63</f>
        <v>2542.6710389312357</v>
      </c>
      <c r="H52" s="22">
        <f>H63</f>
        <v>2979.8399529217277</v>
      </c>
      <c r="I52" s="22">
        <f>I63</f>
        <v>3412.506741971476</v>
      </c>
      <c r="J52" s="22">
        <f>J63</f>
        <v>3840.6714060807135</v>
      </c>
      <c r="K52" s="24">
        <f>K63</f>
        <v>4264.3339452492073</v>
      </c>
      <c r="L52" s="22"/>
      <c r="M52" s="22"/>
      <c r="N52" s="22"/>
      <c r="O52" s="22"/>
      <c r="P52" s="22"/>
      <c r="Q52" s="22"/>
      <c r="R52" s="22"/>
      <c r="S52" s="22"/>
      <c r="T52" s="22"/>
      <c r="U52" s="22"/>
    </row>
    <row r="53" spans="1:21" ht="14" hidden="1" x14ac:dyDescent="0.3">
      <c r="A53" s="49" t="s">
        <v>233</v>
      </c>
      <c r="B53" s="22"/>
      <c r="C53" s="22"/>
      <c r="D53" s="22"/>
      <c r="E53" s="22"/>
      <c r="F53" s="22"/>
      <c r="G53" s="134"/>
      <c r="H53" s="22"/>
      <c r="I53" s="22"/>
      <c r="J53" s="22"/>
      <c r="K53" s="24"/>
      <c r="L53" s="22"/>
      <c r="M53" s="22"/>
      <c r="N53" s="22"/>
      <c r="O53" s="22"/>
      <c r="P53" s="22"/>
      <c r="Q53" s="22"/>
      <c r="R53" s="22"/>
      <c r="S53" s="22"/>
      <c r="T53" s="22"/>
      <c r="U53" s="22"/>
    </row>
    <row r="54" spans="1:21" ht="14" hidden="1" x14ac:dyDescent="0.3">
      <c r="A54" s="49" t="s">
        <v>234</v>
      </c>
      <c r="B54" s="22">
        <v>1912571</v>
      </c>
      <c r="C54" s="22">
        <v>1928331</v>
      </c>
      <c r="D54" s="22">
        <v>1928331</v>
      </c>
      <c r="E54" s="22">
        <v>1928331</v>
      </c>
      <c r="F54" s="22">
        <v>1928331</v>
      </c>
      <c r="G54" s="134">
        <f>F57</f>
        <v>1928331</v>
      </c>
      <c r="H54" s="22">
        <f>G57</f>
        <v>1931508.973163872</v>
      </c>
      <c r="I54" s="22">
        <f>H57</f>
        <v>1934686.9463277441</v>
      </c>
      <c r="J54" s="22">
        <f>I57</f>
        <v>1937864.9194916161</v>
      </c>
      <c r="K54" s="24">
        <f>J57</f>
        <v>1941042.8926554881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</row>
    <row r="55" spans="1:21" ht="14" hidden="1" x14ac:dyDescent="0.3">
      <c r="A55" s="49" t="s">
        <v>235</v>
      </c>
      <c r="B55" s="22">
        <v>15760</v>
      </c>
      <c r="C55" s="22">
        <v>0</v>
      </c>
      <c r="D55" s="22">
        <v>0</v>
      </c>
      <c r="E55" s="22">
        <v>0</v>
      </c>
      <c r="F55" s="22">
        <v>0</v>
      </c>
      <c r="G55" s="134">
        <f>G54*G65</f>
        <v>3177.9731638720864</v>
      </c>
      <c r="H55" s="22">
        <f t="shared" ref="H55:K56" si="7">G55</f>
        <v>3177.9731638720864</v>
      </c>
      <c r="I55" s="22">
        <f t="shared" si="7"/>
        <v>3177.9731638720864</v>
      </c>
      <c r="J55" s="22">
        <f t="shared" si="7"/>
        <v>3177.9731638720864</v>
      </c>
      <c r="K55" s="24">
        <f t="shared" si="7"/>
        <v>3177.9731638720864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</row>
    <row r="56" spans="1:21" ht="14" hidden="1" x14ac:dyDescent="0.3">
      <c r="A56" s="49" t="s">
        <v>236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134">
        <f>F56</f>
        <v>0</v>
      </c>
      <c r="H56" s="22">
        <f t="shared" si="7"/>
        <v>0</v>
      </c>
      <c r="I56" s="22">
        <f t="shared" si="7"/>
        <v>0</v>
      </c>
      <c r="J56" s="22">
        <f t="shared" si="7"/>
        <v>0</v>
      </c>
      <c r="K56" s="24">
        <f t="shared" si="7"/>
        <v>0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</row>
    <row r="57" spans="1:21" ht="14" hidden="1" x14ac:dyDescent="0.3">
      <c r="A57" s="49" t="s">
        <v>237</v>
      </c>
      <c r="B57" s="22">
        <f t="shared" ref="B57:K57" si="8">B54+B55-B56</f>
        <v>1928331</v>
      </c>
      <c r="C57" s="22">
        <f t="shared" si="8"/>
        <v>1928331</v>
      </c>
      <c r="D57" s="22">
        <f t="shared" si="8"/>
        <v>1928331</v>
      </c>
      <c r="E57" s="22">
        <f t="shared" si="8"/>
        <v>1928331</v>
      </c>
      <c r="F57" s="22">
        <f t="shared" si="8"/>
        <v>1928331</v>
      </c>
      <c r="G57" s="134">
        <f t="shared" si="8"/>
        <v>1931508.973163872</v>
      </c>
      <c r="H57" s="22">
        <f t="shared" si="8"/>
        <v>1934686.9463277441</v>
      </c>
      <c r="I57" s="22">
        <f t="shared" si="8"/>
        <v>1937864.9194916161</v>
      </c>
      <c r="J57" s="22">
        <f t="shared" si="8"/>
        <v>1941042.8926554881</v>
      </c>
      <c r="K57" s="24">
        <f t="shared" si="8"/>
        <v>1944220.8658193601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</row>
    <row r="58" spans="1:21" ht="14" hidden="1" x14ac:dyDescent="0.3">
      <c r="A58" s="145" t="s">
        <v>154</v>
      </c>
      <c r="B58" s="22"/>
      <c r="C58" s="22"/>
      <c r="D58" s="22"/>
      <c r="E58" s="22"/>
      <c r="F58" s="22"/>
      <c r="G58" s="134"/>
      <c r="H58" s="22"/>
      <c r="I58" s="22"/>
      <c r="J58" s="22"/>
      <c r="K58" s="24"/>
      <c r="L58" s="22"/>
      <c r="M58" s="22"/>
      <c r="N58" s="22"/>
      <c r="O58" s="22"/>
      <c r="P58" s="22"/>
      <c r="Q58" s="22"/>
      <c r="R58" s="22"/>
      <c r="S58" s="22"/>
      <c r="T58" s="22"/>
      <c r="U58" s="22"/>
    </row>
    <row r="59" spans="1:21" ht="14" hidden="1" x14ac:dyDescent="0.3">
      <c r="A59" s="49" t="s">
        <v>234</v>
      </c>
      <c r="B59" s="22">
        <v>1912571</v>
      </c>
      <c r="C59" s="22">
        <v>1913622</v>
      </c>
      <c r="D59" s="22">
        <v>1916774</v>
      </c>
      <c r="E59" s="22">
        <v>1919926</v>
      </c>
      <c r="F59" s="22">
        <v>1923078</v>
      </c>
      <c r="G59" s="134">
        <f>F62</f>
        <v>1926230</v>
      </c>
      <c r="H59" s="22">
        <f>G62</f>
        <v>1928966.3021249408</v>
      </c>
      <c r="I59" s="22">
        <f>H62</f>
        <v>1931707.1063748223</v>
      </c>
      <c r="J59" s="22">
        <f>I62</f>
        <v>1934452.4127496446</v>
      </c>
      <c r="K59" s="24">
        <f>J62</f>
        <v>1937202.2212494074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</row>
    <row r="60" spans="1:21" ht="14" hidden="1" x14ac:dyDescent="0.3">
      <c r="A60" s="49" t="s">
        <v>238</v>
      </c>
      <c r="B60" s="22">
        <v>1051</v>
      </c>
      <c r="C60" s="22">
        <v>3152</v>
      </c>
      <c r="D60" s="22">
        <v>3152</v>
      </c>
      <c r="E60" s="22">
        <v>3152</v>
      </c>
      <c r="F60" s="22">
        <v>3152</v>
      </c>
      <c r="G60" s="134">
        <f>G66*G57</f>
        <v>2736.3021249407216</v>
      </c>
      <c r="H60" s="22">
        <f>H66*H57</f>
        <v>2740.8042498814425</v>
      </c>
      <c r="I60" s="22">
        <f>I66*I57</f>
        <v>2745.3063748221634</v>
      </c>
      <c r="J60" s="22">
        <f>J66*J57</f>
        <v>2749.8084997628848</v>
      </c>
      <c r="K60" s="24">
        <f>K66*K57</f>
        <v>2754.3106247036058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</row>
    <row r="61" spans="1:21" ht="14" hidden="1" x14ac:dyDescent="0.3">
      <c r="A61" s="49" t="s">
        <v>236</v>
      </c>
      <c r="B61" s="22">
        <v>0</v>
      </c>
      <c r="C61" s="22">
        <v>0</v>
      </c>
      <c r="D61" s="22">
        <v>0</v>
      </c>
      <c r="E61" s="22">
        <v>0</v>
      </c>
      <c r="F61" s="22">
        <v>0</v>
      </c>
      <c r="G61" s="134">
        <f>F61</f>
        <v>0</v>
      </c>
      <c r="H61" s="22">
        <f>G61</f>
        <v>0</v>
      </c>
      <c r="I61" s="22">
        <f>H61</f>
        <v>0</v>
      </c>
      <c r="J61" s="22">
        <f>I61</f>
        <v>0</v>
      </c>
      <c r="K61" s="24">
        <f>J61</f>
        <v>0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</row>
    <row r="62" spans="1:21" ht="14" hidden="1" x14ac:dyDescent="0.3">
      <c r="A62" s="49" t="s">
        <v>237</v>
      </c>
      <c r="B62" s="22">
        <f t="shared" ref="B62:K62" si="9">B59+B60-B61</f>
        <v>1913622</v>
      </c>
      <c r="C62" s="22">
        <f t="shared" si="9"/>
        <v>1916774</v>
      </c>
      <c r="D62" s="22">
        <f t="shared" si="9"/>
        <v>1919926</v>
      </c>
      <c r="E62" s="22">
        <f t="shared" si="9"/>
        <v>1923078</v>
      </c>
      <c r="F62" s="22">
        <f t="shared" si="9"/>
        <v>1926230</v>
      </c>
      <c r="G62" s="134">
        <f t="shared" si="9"/>
        <v>1928966.3021249408</v>
      </c>
      <c r="H62" s="22">
        <f t="shared" si="9"/>
        <v>1931707.1063748223</v>
      </c>
      <c r="I62" s="22">
        <f t="shared" si="9"/>
        <v>1934452.4127496446</v>
      </c>
      <c r="J62" s="22">
        <f t="shared" si="9"/>
        <v>1937202.2212494074</v>
      </c>
      <c r="K62" s="24">
        <f t="shared" si="9"/>
        <v>1939956.5318741109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</row>
    <row r="63" spans="1:21" ht="14" hidden="1" x14ac:dyDescent="0.3">
      <c r="A63" s="145" t="s">
        <v>239</v>
      </c>
      <c r="B63" s="22">
        <f t="shared" ref="B63:K63" si="10">B57-B62</f>
        <v>14709</v>
      </c>
      <c r="C63" s="22">
        <f t="shared" si="10"/>
        <v>11557</v>
      </c>
      <c r="D63" s="22">
        <f t="shared" si="10"/>
        <v>8405</v>
      </c>
      <c r="E63" s="22">
        <f t="shared" si="10"/>
        <v>5253</v>
      </c>
      <c r="F63" s="22">
        <f t="shared" si="10"/>
        <v>2101</v>
      </c>
      <c r="G63" s="134">
        <f t="shared" si="10"/>
        <v>2542.6710389312357</v>
      </c>
      <c r="H63" s="22">
        <f t="shared" si="10"/>
        <v>2979.8399529217277</v>
      </c>
      <c r="I63" s="22">
        <f t="shared" si="10"/>
        <v>3412.506741971476</v>
      </c>
      <c r="J63" s="22">
        <f t="shared" si="10"/>
        <v>3840.6714060807135</v>
      </c>
      <c r="K63" s="24">
        <f t="shared" si="10"/>
        <v>4264.3339452492073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</row>
    <row r="64" spans="1:21" ht="14" hidden="1" x14ac:dyDescent="0.3">
      <c r="A64" s="145"/>
      <c r="B64" s="22"/>
      <c r="C64" s="22"/>
      <c r="D64" s="22"/>
      <c r="E64" s="22"/>
      <c r="F64" s="22"/>
      <c r="G64" s="134"/>
      <c r="H64" s="22"/>
      <c r="I64" s="22"/>
      <c r="J64" s="22"/>
      <c r="K64" s="24"/>
      <c r="L64" s="22"/>
      <c r="M64" s="22"/>
      <c r="N64" s="22"/>
      <c r="O64" s="22"/>
      <c r="P64" s="22"/>
      <c r="Q64" s="22"/>
      <c r="R64" s="22"/>
      <c r="S64" s="22"/>
      <c r="T64" s="22"/>
      <c r="U64" s="22"/>
    </row>
    <row r="65" spans="1:21" ht="14" hidden="1" x14ac:dyDescent="0.3">
      <c r="A65" s="145" t="s">
        <v>240</v>
      </c>
      <c r="B65" s="13">
        <f>B55/B54</f>
        <v>8.2402169644943905E-3</v>
      </c>
      <c r="C65" s="22">
        <v>0</v>
      </c>
      <c r="D65" s="22">
        <v>0</v>
      </c>
      <c r="E65" s="22">
        <v>0</v>
      </c>
      <c r="F65" s="22">
        <v>0</v>
      </c>
      <c r="G65" s="120">
        <f>AVERAGE(B65:F65)</f>
        <v>1.648043392898878E-3</v>
      </c>
      <c r="H65" s="13">
        <f t="shared" ref="H65:K66" si="11">G65</f>
        <v>1.648043392898878E-3</v>
      </c>
      <c r="I65" s="13">
        <f t="shared" si="11"/>
        <v>1.648043392898878E-3</v>
      </c>
      <c r="J65" s="13">
        <f t="shared" si="11"/>
        <v>1.648043392898878E-3</v>
      </c>
      <c r="K65" s="14">
        <f t="shared" si="11"/>
        <v>1.648043392898878E-3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</row>
    <row r="66" spans="1:21" ht="14" hidden="1" x14ac:dyDescent="0.3">
      <c r="A66" s="145" t="s">
        <v>241</v>
      </c>
      <c r="B66" s="13">
        <f>B60/B57</f>
        <v>5.4503091014976161E-4</v>
      </c>
      <c r="C66" s="13">
        <f>C60/C57</f>
        <v>1.6345741472807314E-3</v>
      </c>
      <c r="D66" s="13">
        <f>D60/D57</f>
        <v>1.6345741472807314E-3</v>
      </c>
      <c r="E66" s="13">
        <f>E60/E57</f>
        <v>1.6345741472807314E-3</v>
      </c>
      <c r="F66" s="13">
        <f>F60/F57</f>
        <v>1.6345741472807314E-3</v>
      </c>
      <c r="G66" s="120">
        <f>AVERAGE(B66:F66)</f>
        <v>1.4166654998545376E-3</v>
      </c>
      <c r="H66" s="13">
        <f t="shared" si="11"/>
        <v>1.4166654998545376E-3</v>
      </c>
      <c r="I66" s="13">
        <f t="shared" si="11"/>
        <v>1.4166654998545376E-3</v>
      </c>
      <c r="J66" s="13">
        <f t="shared" si="11"/>
        <v>1.4166654998545376E-3</v>
      </c>
      <c r="K66" s="14">
        <f t="shared" si="11"/>
        <v>1.4166654998545376E-3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</row>
    <row r="67" spans="1:21" ht="14" hidden="1" x14ac:dyDescent="0.3">
      <c r="A67" s="145"/>
      <c r="B67" s="22"/>
      <c r="C67" s="22"/>
      <c r="D67" s="22"/>
      <c r="E67" s="22"/>
      <c r="F67" s="24"/>
      <c r="G67" s="22"/>
      <c r="H67" s="22"/>
      <c r="I67" s="22"/>
      <c r="J67" s="22"/>
      <c r="K67" s="24"/>
      <c r="L67" s="22"/>
      <c r="M67" s="22"/>
      <c r="N67" s="22"/>
      <c r="O67" s="22"/>
      <c r="P67" s="22"/>
      <c r="Q67" s="22"/>
      <c r="R67" s="22"/>
      <c r="S67" s="22"/>
      <c r="T67" s="22"/>
      <c r="U67" s="22"/>
    </row>
    <row r="68" spans="1:21" ht="14" x14ac:dyDescent="0.3">
      <c r="A68" s="145" t="s">
        <v>242</v>
      </c>
      <c r="B68" s="22">
        <v>4436561</v>
      </c>
      <c r="C68" s="22">
        <v>4631252</v>
      </c>
      <c r="D68" s="22">
        <v>4936422</v>
      </c>
      <c r="E68" s="22">
        <v>4970295</v>
      </c>
      <c r="F68" s="24">
        <v>5198192</v>
      </c>
      <c r="G68" s="22">
        <f t="shared" ref="G68:K71" si="12">F68</f>
        <v>5198192</v>
      </c>
      <c r="H68" s="22">
        <f t="shared" si="12"/>
        <v>5198192</v>
      </c>
      <c r="I68" s="22">
        <f t="shared" si="12"/>
        <v>5198192</v>
      </c>
      <c r="J68" s="22">
        <f t="shared" si="12"/>
        <v>5198192</v>
      </c>
      <c r="K68" s="24">
        <f t="shared" si="12"/>
        <v>5198192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</row>
    <row r="69" spans="1:21" ht="14" x14ac:dyDescent="0.3">
      <c r="A69" s="145" t="s">
        <v>243</v>
      </c>
      <c r="B69" s="22">
        <v>25076</v>
      </c>
      <c r="C69" s="22">
        <v>33585</v>
      </c>
      <c r="D69" s="22">
        <v>29131</v>
      </c>
      <c r="E69" s="22">
        <v>37440</v>
      </c>
      <c r="F69" s="24">
        <v>51163</v>
      </c>
      <c r="G69" s="22">
        <f t="shared" si="12"/>
        <v>51163</v>
      </c>
      <c r="H69" s="22">
        <f t="shared" si="12"/>
        <v>51163</v>
      </c>
      <c r="I69" s="22">
        <f t="shared" si="12"/>
        <v>51163</v>
      </c>
      <c r="J69" s="22">
        <f t="shared" si="12"/>
        <v>51163</v>
      </c>
      <c r="K69" s="24">
        <f t="shared" si="12"/>
        <v>51163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</row>
    <row r="70" spans="1:21" ht="14" x14ac:dyDescent="0.3">
      <c r="A70" s="145" t="s">
        <v>244</v>
      </c>
      <c r="B70" s="22">
        <v>883177</v>
      </c>
      <c r="C70" s="22">
        <v>159759</v>
      </c>
      <c r="D70" s="22">
        <v>158799</v>
      </c>
      <c r="E70" s="22">
        <v>265766</v>
      </c>
      <c r="F70" s="24">
        <v>220100</v>
      </c>
      <c r="G70" s="22">
        <f t="shared" si="12"/>
        <v>220100</v>
      </c>
      <c r="H70" s="22">
        <f t="shared" si="12"/>
        <v>220100</v>
      </c>
      <c r="I70" s="22">
        <f t="shared" si="12"/>
        <v>220100</v>
      </c>
      <c r="J70" s="22">
        <f t="shared" si="12"/>
        <v>220100</v>
      </c>
      <c r="K70" s="24">
        <f t="shared" si="12"/>
        <v>220100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</row>
    <row r="71" spans="1:21" ht="14" x14ac:dyDescent="0.3">
      <c r="A71" s="145" t="s">
        <v>245</v>
      </c>
      <c r="B71" s="22">
        <v>178456</v>
      </c>
      <c r="C71" s="22">
        <v>425467</v>
      </c>
      <c r="D71" s="22">
        <v>1020840</v>
      </c>
      <c r="E71" s="22">
        <v>753734</v>
      </c>
      <c r="F71" s="24">
        <v>780010</v>
      </c>
      <c r="G71" s="22">
        <f t="shared" si="12"/>
        <v>780010</v>
      </c>
      <c r="H71" s="22">
        <f t="shared" si="12"/>
        <v>780010</v>
      </c>
      <c r="I71" s="22">
        <f t="shared" si="12"/>
        <v>780010</v>
      </c>
      <c r="J71" s="22">
        <f t="shared" si="12"/>
        <v>780010</v>
      </c>
      <c r="K71" s="24">
        <f t="shared" si="12"/>
        <v>780010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</row>
    <row r="72" spans="1:21" ht="14" x14ac:dyDescent="0.3">
      <c r="A72" s="147"/>
      <c r="B72" s="125">
        <f t="shared" ref="B72:K72" si="13">B33+B51+B52+B68+B69+B70+B71</f>
        <v>17305822</v>
      </c>
      <c r="C72" s="125">
        <f t="shared" si="13"/>
        <v>23300340</v>
      </c>
      <c r="D72" s="125">
        <f t="shared" si="13"/>
        <v>26286510</v>
      </c>
      <c r="E72" s="125">
        <f t="shared" si="13"/>
        <v>29771273</v>
      </c>
      <c r="F72" s="126">
        <f t="shared" si="13"/>
        <v>33284260</v>
      </c>
      <c r="G72" s="125">
        <f t="shared" si="13"/>
        <v>35720229.699452452</v>
      </c>
      <c r="H72" s="125">
        <f t="shared" si="13"/>
        <v>38150351.364390843</v>
      </c>
      <c r="I72" s="125">
        <f t="shared" si="13"/>
        <v>41016135.305354878</v>
      </c>
      <c r="J72" s="125">
        <f t="shared" si="13"/>
        <v>44376539.76612933</v>
      </c>
      <c r="K72" s="126">
        <f t="shared" si="13"/>
        <v>48298501.736376569</v>
      </c>
      <c r="L72" s="149"/>
      <c r="M72" s="149"/>
      <c r="N72" s="149"/>
      <c r="O72" s="149"/>
      <c r="P72" s="149"/>
      <c r="Q72" s="149"/>
      <c r="R72" s="149"/>
      <c r="S72" s="149"/>
      <c r="T72" s="149"/>
      <c r="U72" s="149"/>
    </row>
    <row r="73" spans="1:21" ht="14" x14ac:dyDescent="0.3">
      <c r="A73" s="147" t="s">
        <v>246</v>
      </c>
      <c r="B73" s="22"/>
      <c r="C73" s="22"/>
      <c r="D73" s="22"/>
      <c r="E73" s="22"/>
      <c r="F73" s="24"/>
      <c r="G73" s="22"/>
      <c r="H73" s="22"/>
      <c r="I73" s="22"/>
      <c r="J73" s="22"/>
      <c r="K73" s="24"/>
      <c r="L73" s="22"/>
      <c r="M73" s="22"/>
      <c r="N73" s="22"/>
      <c r="O73" s="22"/>
      <c r="P73" s="22"/>
      <c r="Q73" s="22"/>
      <c r="R73" s="22"/>
      <c r="S73" s="22"/>
      <c r="T73" s="22"/>
      <c r="U73" s="22"/>
    </row>
    <row r="74" spans="1:21" ht="14" x14ac:dyDescent="0.3">
      <c r="A74" s="145" t="s">
        <v>156</v>
      </c>
      <c r="B74" s="22">
        <v>14884111</v>
      </c>
      <c r="C74" s="22">
        <v>17413439</v>
      </c>
      <c r="D74" s="22">
        <v>13510164</v>
      </c>
      <c r="E74" s="22">
        <v>36628824</v>
      </c>
      <c r="F74" s="24">
        <v>42921597</v>
      </c>
      <c r="G74" s="22">
        <f>Assumptions!G208</f>
        <v>78692995.254317462</v>
      </c>
      <c r="H74" s="22">
        <f>Assumptions!H208</f>
        <v>94991641.719747841</v>
      </c>
      <c r="I74" s="22">
        <f>Assumptions!I208</f>
        <v>116468262.50361453</v>
      </c>
      <c r="J74" s="22">
        <f>Assumptions!J208</f>
        <v>144013274.04733497</v>
      </c>
      <c r="K74" s="24">
        <f>Assumptions!K208</f>
        <v>177897603.04396802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</row>
    <row r="75" spans="1:21" ht="14" x14ac:dyDescent="0.3">
      <c r="A75" s="145" t="s">
        <v>247</v>
      </c>
      <c r="B75" s="22">
        <v>3264207</v>
      </c>
      <c r="C75" s="22">
        <v>4544062</v>
      </c>
      <c r="D75" s="22">
        <v>3971807</v>
      </c>
      <c r="E75" s="22">
        <v>4667468</v>
      </c>
      <c r="F75" s="24">
        <v>5910061</v>
      </c>
      <c r="G75" s="22">
        <f>Assumptions!G210</f>
        <v>14551843.350015931</v>
      </c>
      <c r="H75" s="22">
        <f>Assumptions!H210</f>
        <v>17578316.692852922</v>
      </c>
      <c r="I75" s="22">
        <f>Assumptions!I210</f>
        <v>21452721.188420497</v>
      </c>
      <c r="J75" s="22">
        <f>Assumptions!J210</f>
        <v>26422244.051718105</v>
      </c>
      <c r="K75" s="24">
        <f>Assumptions!K210</f>
        <v>32530445.176615283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</row>
    <row r="76" spans="1:21" ht="14" x14ac:dyDescent="0.3">
      <c r="A76" s="145" t="s">
        <v>248</v>
      </c>
      <c r="B76" s="22">
        <v>109668</v>
      </c>
      <c r="C76" s="22">
        <v>131099</v>
      </c>
      <c r="D76" s="22">
        <v>98893</v>
      </c>
      <c r="E76" s="22">
        <v>92160</v>
      </c>
      <c r="F76" s="24">
        <v>62784</v>
      </c>
      <c r="G76" s="22">
        <f t="shared" ref="G76:K77" si="14">F76</f>
        <v>62784</v>
      </c>
      <c r="H76" s="22">
        <f t="shared" si="14"/>
        <v>62784</v>
      </c>
      <c r="I76" s="22">
        <f t="shared" si="14"/>
        <v>62784</v>
      </c>
      <c r="J76" s="22">
        <f t="shared" si="14"/>
        <v>62784</v>
      </c>
      <c r="K76" s="24">
        <f t="shared" si="14"/>
        <v>62784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</row>
    <row r="77" spans="1:21" ht="14" x14ac:dyDescent="0.3">
      <c r="A77" s="134" t="s">
        <v>249</v>
      </c>
      <c r="B77" s="22">
        <v>782165</v>
      </c>
      <c r="C77" s="22">
        <v>544129</v>
      </c>
      <c r="D77" s="22">
        <v>618934</v>
      </c>
      <c r="E77" s="22">
        <v>527247</v>
      </c>
      <c r="F77" s="24">
        <v>535584</v>
      </c>
      <c r="G77" s="22">
        <f t="shared" si="14"/>
        <v>535584</v>
      </c>
      <c r="H77" s="22">
        <f t="shared" si="14"/>
        <v>535584</v>
      </c>
      <c r="I77" s="22">
        <f t="shared" si="14"/>
        <v>535584</v>
      </c>
      <c r="J77" s="22">
        <f t="shared" si="14"/>
        <v>535584</v>
      </c>
      <c r="K77" s="24">
        <f t="shared" si="14"/>
        <v>535584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</row>
    <row r="78" spans="1:21" ht="14" x14ac:dyDescent="0.3">
      <c r="A78" s="49" t="s">
        <v>159</v>
      </c>
      <c r="B78" s="22">
        <v>10797182</v>
      </c>
      <c r="C78" s="22">
        <v>7922392</v>
      </c>
      <c r="D78" s="22">
        <v>7616623</v>
      </c>
      <c r="E78" s="22">
        <v>8189480</v>
      </c>
      <c r="F78" s="24">
        <v>8216986</v>
      </c>
      <c r="G78" s="22">
        <f>Assumptions!G211</f>
        <v>29369864.86729141</v>
      </c>
      <c r="H78" s="22">
        <f>Assumptions!H211</f>
        <v>35478170.939970843</v>
      </c>
      <c r="I78" s="22">
        <f>Assumptions!I211</f>
        <v>43297849.432862364</v>
      </c>
      <c r="J78" s="22">
        <f>Assumptions!J211</f>
        <v>53327796.253984928</v>
      </c>
      <c r="K78" s="24">
        <f>Assumptions!K211</f>
        <v>65655927.976229668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</row>
    <row r="79" spans="1:21" ht="14" x14ac:dyDescent="0.3">
      <c r="A79" s="22" t="s">
        <v>250</v>
      </c>
      <c r="B79" s="22">
        <v>1973413</v>
      </c>
      <c r="C79" s="22">
        <v>2319546</v>
      </c>
      <c r="D79" s="22">
        <v>2542876</v>
      </c>
      <c r="E79" s="22">
        <v>4973417</v>
      </c>
      <c r="F79" s="24">
        <v>10801097</v>
      </c>
      <c r="G79" s="134">
        <f ca="1">G187</f>
        <v>27730784.943291202</v>
      </c>
      <c r="H79" s="22">
        <f ca="1">H187</f>
        <v>31903372.133515649</v>
      </c>
      <c r="I79" s="22">
        <f ca="1">I187</f>
        <v>35399240.334701255</v>
      </c>
      <c r="J79" s="22">
        <f ca="1">J187</f>
        <v>39240220.632006578</v>
      </c>
      <c r="K79" s="24">
        <f ca="1">K187</f>
        <v>42844699.376897998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</row>
    <row r="80" spans="1:21" ht="14" x14ac:dyDescent="0.3">
      <c r="A80" s="149"/>
      <c r="B80" s="76">
        <f t="shared" ref="B80:K80" si="15">SUM(B74:B79)</f>
        <v>31810746</v>
      </c>
      <c r="C80" s="76">
        <f t="shared" si="15"/>
        <v>32874667</v>
      </c>
      <c r="D80" s="76">
        <f t="shared" si="15"/>
        <v>28359297</v>
      </c>
      <c r="E80" s="76">
        <f t="shared" si="15"/>
        <v>55078596</v>
      </c>
      <c r="F80" s="77">
        <f t="shared" si="15"/>
        <v>68448109</v>
      </c>
      <c r="G80" s="139">
        <f t="shared" ca="1" si="15"/>
        <v>150943856.41491601</v>
      </c>
      <c r="H80" s="76">
        <f t="shared" ca="1" si="15"/>
        <v>180549869.48608726</v>
      </c>
      <c r="I80" s="76">
        <f t="shared" ca="1" si="15"/>
        <v>217216441.45959866</v>
      </c>
      <c r="J80" s="76">
        <f t="shared" ca="1" si="15"/>
        <v>263601902.9850446</v>
      </c>
      <c r="K80" s="77">
        <f t="shared" ca="1" si="15"/>
        <v>319527043.57371098</v>
      </c>
      <c r="L80" s="149"/>
      <c r="M80" s="149"/>
      <c r="N80" s="149"/>
      <c r="O80" s="149"/>
      <c r="P80" s="149"/>
      <c r="Q80" s="149"/>
      <c r="R80" s="149"/>
      <c r="S80" s="149"/>
      <c r="T80" s="149"/>
      <c r="U80" s="149"/>
    </row>
    <row r="81" spans="1:21" ht="14" x14ac:dyDescent="0.3">
      <c r="A81" s="150"/>
      <c r="B81" s="76"/>
      <c r="C81" s="76"/>
      <c r="D81" s="76"/>
      <c r="E81" s="76"/>
      <c r="F81" s="76"/>
      <c r="G81" s="76"/>
      <c r="H81" s="76"/>
      <c r="I81" s="76"/>
      <c r="J81" s="76"/>
      <c r="K81" s="77"/>
      <c r="L81" s="149"/>
      <c r="M81" s="149"/>
      <c r="N81" s="149"/>
      <c r="O81" s="149"/>
      <c r="P81" s="149"/>
      <c r="Q81" s="149"/>
      <c r="R81" s="149"/>
      <c r="S81" s="149"/>
      <c r="T81" s="149"/>
      <c r="U81" s="149"/>
    </row>
    <row r="82" spans="1:21" ht="14" x14ac:dyDescent="0.3">
      <c r="A82" s="115" t="s">
        <v>251</v>
      </c>
      <c r="B82" s="125">
        <f t="shared" ref="B82:K82" si="16">B72+B80</f>
        <v>49116568</v>
      </c>
      <c r="C82" s="125">
        <f t="shared" si="16"/>
        <v>56175007</v>
      </c>
      <c r="D82" s="125">
        <f t="shared" si="16"/>
        <v>54645807</v>
      </c>
      <c r="E82" s="125">
        <f t="shared" si="16"/>
        <v>84849869</v>
      </c>
      <c r="F82" s="125">
        <f t="shared" si="16"/>
        <v>101732369</v>
      </c>
      <c r="G82" s="173">
        <f t="shared" ca="1" si="16"/>
        <v>186664086.11436847</v>
      </c>
      <c r="H82" s="125">
        <f t="shared" ca="1" si="16"/>
        <v>218700220.85047811</v>
      </c>
      <c r="I82" s="125">
        <f t="shared" ca="1" si="16"/>
        <v>258232576.76495355</v>
      </c>
      <c r="J82" s="125">
        <f t="shared" ca="1" si="16"/>
        <v>307978442.75117391</v>
      </c>
      <c r="K82" s="126">
        <f t="shared" ca="1" si="16"/>
        <v>367825545.31008756</v>
      </c>
      <c r="L82" s="149"/>
      <c r="M82" s="149"/>
      <c r="N82" s="149"/>
      <c r="O82" s="149"/>
      <c r="P82" s="149"/>
      <c r="Q82" s="149"/>
      <c r="R82" s="149"/>
      <c r="S82" s="149"/>
      <c r="T82" s="149"/>
      <c r="U82" s="149"/>
    </row>
    <row r="83" spans="1:21" ht="14" x14ac:dyDescent="0.3">
      <c r="A83" s="134"/>
      <c r="B83" s="22"/>
      <c r="C83" s="22"/>
      <c r="D83" s="22"/>
      <c r="E83" s="22"/>
      <c r="F83" s="85"/>
      <c r="G83" s="154"/>
      <c r="H83" s="154"/>
      <c r="I83" s="154"/>
      <c r="J83" s="154"/>
      <c r="K83" s="174"/>
      <c r="L83" s="22"/>
      <c r="M83" s="22"/>
      <c r="N83" s="22"/>
      <c r="O83" s="22"/>
      <c r="P83" s="22"/>
      <c r="Q83" s="22"/>
      <c r="R83" s="22"/>
      <c r="S83" s="22"/>
      <c r="T83" s="22"/>
      <c r="U83" s="22"/>
    </row>
    <row r="84" spans="1:21" ht="14" x14ac:dyDescent="0.3">
      <c r="A84" s="139" t="s">
        <v>165</v>
      </c>
      <c r="B84" s="85"/>
      <c r="C84" s="85"/>
      <c r="D84" s="85"/>
      <c r="E84" s="85"/>
      <c r="F84" s="86"/>
      <c r="G84" s="175"/>
      <c r="H84" s="175"/>
      <c r="I84" s="175"/>
      <c r="J84" s="175"/>
      <c r="K84" s="176"/>
      <c r="L84" s="22"/>
      <c r="M84" s="22"/>
      <c r="N84" s="22"/>
      <c r="O84" s="22"/>
      <c r="P84" s="22"/>
      <c r="Q84" s="22"/>
      <c r="R84" s="22"/>
      <c r="S84" s="22"/>
      <c r="T84" s="22"/>
      <c r="U84" s="22"/>
    </row>
    <row r="85" spans="1:21" ht="14" x14ac:dyDescent="0.3">
      <c r="A85" s="150" t="s">
        <v>166</v>
      </c>
      <c r="B85" s="22"/>
      <c r="C85" s="22"/>
      <c r="D85" s="22"/>
      <c r="E85" s="22"/>
      <c r="F85" s="24"/>
      <c r="G85" s="22"/>
      <c r="H85" s="22"/>
      <c r="I85" s="22"/>
      <c r="J85" s="22"/>
      <c r="K85" s="24"/>
      <c r="L85" s="22"/>
      <c r="M85" s="22"/>
      <c r="N85" s="22"/>
      <c r="O85" s="22"/>
      <c r="P85" s="22"/>
      <c r="Q85" s="22"/>
      <c r="R85" s="22"/>
      <c r="S85" s="22"/>
      <c r="T85" s="22"/>
      <c r="U85" s="22"/>
    </row>
    <row r="86" spans="1:21" ht="14" x14ac:dyDescent="0.3">
      <c r="A86" s="134" t="s">
        <v>252</v>
      </c>
      <c r="B86" s="22">
        <v>1070125</v>
      </c>
      <c r="C86" s="22">
        <v>1070125</v>
      </c>
      <c r="D86" s="22">
        <v>1070125</v>
      </c>
      <c r="E86" s="22">
        <v>2140246</v>
      </c>
      <c r="F86" s="24">
        <v>2140246</v>
      </c>
      <c r="G86" s="22">
        <f>Assumptions!G224</f>
        <v>2140246</v>
      </c>
      <c r="H86" s="22">
        <f>Assumptions!H224</f>
        <v>2140246</v>
      </c>
      <c r="I86" s="22">
        <f>Assumptions!I224</f>
        <v>2140246</v>
      </c>
      <c r="J86" s="22">
        <f>Assumptions!J224</f>
        <v>2140246</v>
      </c>
      <c r="K86" s="24">
        <f>Assumptions!K224</f>
        <v>2140246</v>
      </c>
      <c r="L86" s="22"/>
      <c r="M86" s="22"/>
      <c r="N86" s="22"/>
      <c r="O86" s="22"/>
      <c r="P86" s="22"/>
      <c r="Q86" s="22"/>
      <c r="R86" s="22"/>
      <c r="S86" s="22"/>
      <c r="T86" s="22"/>
      <c r="U86" s="22"/>
    </row>
    <row r="87" spans="1:21" ht="14" x14ac:dyDescent="0.3">
      <c r="A87" s="134" t="s">
        <v>168</v>
      </c>
      <c r="B87" s="22">
        <v>1503803</v>
      </c>
      <c r="C87" s="22">
        <v>1503803</v>
      </c>
      <c r="D87" s="22">
        <v>1503803</v>
      </c>
      <c r="E87" s="22">
        <v>11991012</v>
      </c>
      <c r="F87" s="24">
        <v>11991012</v>
      </c>
      <c r="G87" s="22">
        <f>Assumptions!G225</f>
        <v>11991012</v>
      </c>
      <c r="H87" s="22">
        <f>Assumptions!H225</f>
        <v>11991012</v>
      </c>
      <c r="I87" s="22">
        <f>Assumptions!I225</f>
        <v>11991012</v>
      </c>
      <c r="J87" s="22">
        <f>Assumptions!J225</f>
        <v>11991012</v>
      </c>
      <c r="K87" s="24">
        <f>Assumptions!K225</f>
        <v>11991012</v>
      </c>
      <c r="L87" s="22"/>
      <c r="M87" s="22"/>
      <c r="N87" s="22"/>
      <c r="O87" s="22"/>
      <c r="P87" s="22"/>
      <c r="Q87" s="22"/>
      <c r="R87" s="22"/>
      <c r="S87" s="22"/>
      <c r="T87" s="22"/>
      <c r="U87" s="22"/>
    </row>
    <row r="88" spans="1:21" ht="14" x14ac:dyDescent="0.3">
      <c r="A88" s="134" t="s">
        <v>169</v>
      </c>
      <c r="B88" s="22">
        <v>207002</v>
      </c>
      <c r="C88" s="22">
        <v>207002</v>
      </c>
      <c r="D88" s="22">
        <v>207002</v>
      </c>
      <c r="E88" s="22">
        <v>207002</v>
      </c>
      <c r="F88" s="24">
        <v>207002</v>
      </c>
      <c r="G88" s="22">
        <f>Assumptions!G226</f>
        <v>207002</v>
      </c>
      <c r="H88" s="22">
        <f>Assumptions!H226</f>
        <v>207002</v>
      </c>
      <c r="I88" s="22">
        <f>Assumptions!I226</f>
        <v>207002</v>
      </c>
      <c r="J88" s="22">
        <f>Assumptions!J226</f>
        <v>207002</v>
      </c>
      <c r="K88" s="24">
        <f>Assumptions!K226</f>
        <v>207002</v>
      </c>
      <c r="L88" s="22"/>
      <c r="M88" s="22"/>
      <c r="N88" s="22"/>
      <c r="O88" s="22"/>
      <c r="P88" s="22"/>
      <c r="Q88" s="22"/>
      <c r="R88" s="22"/>
      <c r="S88" s="22"/>
      <c r="T88" s="22"/>
      <c r="U88" s="22"/>
    </row>
    <row r="89" spans="1:21" ht="14" x14ac:dyDescent="0.3">
      <c r="A89" s="151" t="s">
        <v>171</v>
      </c>
      <c r="B89" s="22">
        <v>4068450</v>
      </c>
      <c r="C89" s="22">
        <v>1995276</v>
      </c>
      <c r="D89" s="22">
        <v>-2829185</v>
      </c>
      <c r="E89" s="22">
        <v>1587146</v>
      </c>
      <c r="F89" s="24">
        <v>807101</v>
      </c>
      <c r="G89" s="134">
        <f ca="1">Assumptions!G229</f>
        <v>-2030891.3126643687</v>
      </c>
      <c r="H89" s="22">
        <f ca="1">Assumptions!H229</f>
        <v>-3438579.8189549586</v>
      </c>
      <c r="I89" s="22">
        <f ca="1">Assumptions!I229</f>
        <v>-7974932.9756981954</v>
      </c>
      <c r="J89" s="22">
        <f ca="1">Assumptions!J229</f>
        <v>-14749741.833978478</v>
      </c>
      <c r="K89" s="24">
        <f ca="1">Assumptions!K229</f>
        <v>-24431204.855912946</v>
      </c>
      <c r="L89" s="22"/>
      <c r="M89" s="22"/>
      <c r="N89" s="22"/>
      <c r="O89" s="22"/>
      <c r="P89" s="22"/>
      <c r="Q89" s="22"/>
      <c r="R89" s="22"/>
      <c r="S89" s="22"/>
      <c r="T89" s="22"/>
      <c r="U89" s="22"/>
    </row>
    <row r="90" spans="1:21" ht="14" x14ac:dyDescent="0.3">
      <c r="A90" s="134" t="s">
        <v>172</v>
      </c>
      <c r="B90" s="22"/>
      <c r="C90" s="22"/>
      <c r="D90" s="22"/>
      <c r="E90" s="22"/>
      <c r="F90" s="24"/>
      <c r="G90" s="22"/>
      <c r="H90" s="22"/>
      <c r="I90" s="22"/>
      <c r="J90" s="22"/>
      <c r="K90" s="24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21" ht="14" x14ac:dyDescent="0.3">
      <c r="A91" s="134" t="s">
        <v>173</v>
      </c>
      <c r="B91" s="22">
        <v>-496058</v>
      </c>
      <c r="C91" s="22">
        <v>-485073</v>
      </c>
      <c r="D91" s="22">
        <v>-597904</v>
      </c>
      <c r="E91" s="22">
        <v>-598930</v>
      </c>
      <c r="F91" s="24">
        <v>-543266</v>
      </c>
      <c r="G91" s="22">
        <f>Assumptions!G231</f>
        <v>-543266</v>
      </c>
      <c r="H91" s="22">
        <f>Assumptions!H231</f>
        <v>-543266</v>
      </c>
      <c r="I91" s="22">
        <f>Assumptions!I231</f>
        <v>-543266</v>
      </c>
      <c r="J91" s="22">
        <f>Assumptions!J231</f>
        <v>-543266</v>
      </c>
      <c r="K91" s="24">
        <f>Assumptions!K231</f>
        <v>-543266</v>
      </c>
      <c r="L91" s="22"/>
      <c r="M91" s="22"/>
      <c r="N91" s="22"/>
      <c r="O91" s="22"/>
      <c r="P91" s="22"/>
      <c r="Q91" s="22"/>
      <c r="R91" s="22"/>
      <c r="S91" s="22"/>
      <c r="T91" s="22"/>
      <c r="U91" s="22"/>
    </row>
    <row r="92" spans="1:21" ht="14" x14ac:dyDescent="0.3">
      <c r="A92" s="134" t="s">
        <v>174</v>
      </c>
      <c r="B92" s="22"/>
      <c r="C92" s="22"/>
      <c r="D92" s="22"/>
      <c r="E92" s="22"/>
      <c r="F92" s="24"/>
      <c r="G92" s="22"/>
      <c r="H92" s="22"/>
      <c r="I92" s="22"/>
      <c r="J92" s="22"/>
      <c r="K92" s="24"/>
      <c r="L92" s="22"/>
      <c r="M92" s="22"/>
      <c r="N92" s="22"/>
      <c r="O92" s="22"/>
      <c r="P92" s="22"/>
      <c r="Q92" s="22"/>
      <c r="R92" s="22"/>
      <c r="S92" s="22"/>
      <c r="T92" s="22"/>
      <c r="U92" s="22"/>
    </row>
    <row r="93" spans="1:21" ht="14" x14ac:dyDescent="0.3">
      <c r="A93" s="134" t="s">
        <v>175</v>
      </c>
      <c r="B93" s="22">
        <v>0</v>
      </c>
      <c r="C93" s="22">
        <v>0</v>
      </c>
      <c r="D93" s="22">
        <v>-5000</v>
      </c>
      <c r="E93" s="22">
        <v>-5000</v>
      </c>
      <c r="F93" s="24">
        <v>-5000</v>
      </c>
      <c r="G93" s="28">
        <f>Assumptions!G233</f>
        <v>-5000</v>
      </c>
      <c r="H93" s="28">
        <f>Assumptions!H233</f>
        <v>-5000</v>
      </c>
      <c r="I93" s="28">
        <f>Assumptions!I233</f>
        <v>-5000</v>
      </c>
      <c r="J93" s="28">
        <f>Assumptions!J233</f>
        <v>-5000</v>
      </c>
      <c r="K93" s="29">
        <f>Assumptions!K233</f>
        <v>-5000</v>
      </c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21" ht="14" x14ac:dyDescent="0.3">
      <c r="A94" s="150" t="s">
        <v>253</v>
      </c>
      <c r="B94" s="76">
        <f>SUM(B86:B93)</f>
        <v>6353322</v>
      </c>
      <c r="C94" s="76">
        <f>SUM(C86:C93)</f>
        <v>4291133</v>
      </c>
      <c r="D94" s="76">
        <f>SUM(D86:D93)</f>
        <v>-651159</v>
      </c>
      <c r="E94" s="76">
        <f>SUM(E86:E93)</f>
        <v>15321476</v>
      </c>
      <c r="F94" s="77">
        <f t="shared" ref="F94:K94" si="17">F86+F87+F88+F89+F91+F93</f>
        <v>14597095</v>
      </c>
      <c r="G94" s="76">
        <f t="shared" ca="1" si="17"/>
        <v>11759102.687335631</v>
      </c>
      <c r="H94" s="125">
        <f t="shared" ca="1" si="17"/>
        <v>10351414.18104504</v>
      </c>
      <c r="I94" s="125">
        <f t="shared" ca="1" si="17"/>
        <v>5815061.0243018046</v>
      </c>
      <c r="J94" s="125">
        <f t="shared" ca="1" si="17"/>
        <v>-959747.83397847787</v>
      </c>
      <c r="K94" s="77">
        <f t="shared" ca="1" si="17"/>
        <v>-10641210.855912946</v>
      </c>
      <c r="L94" s="22"/>
      <c r="M94" s="22"/>
      <c r="N94" s="22"/>
      <c r="O94" s="22"/>
      <c r="P94" s="22"/>
      <c r="Q94" s="22"/>
      <c r="R94" s="22"/>
      <c r="S94" s="22"/>
      <c r="T94" s="22"/>
      <c r="U94" s="22"/>
    </row>
    <row r="95" spans="1:21" ht="14" x14ac:dyDescent="0.3">
      <c r="A95" s="85"/>
      <c r="B95" s="85"/>
      <c r="C95" s="85"/>
      <c r="D95" s="85"/>
      <c r="E95" s="85"/>
      <c r="F95" s="85"/>
      <c r="G95" s="125"/>
      <c r="H95" s="114"/>
      <c r="I95" s="114"/>
      <c r="J95" s="114"/>
      <c r="K95" s="125"/>
      <c r="L95" s="22"/>
      <c r="M95" s="22"/>
      <c r="N95" s="22"/>
      <c r="O95" s="22"/>
      <c r="P95" s="22"/>
      <c r="Q95" s="22"/>
      <c r="R95" s="22"/>
      <c r="S95" s="22"/>
      <c r="T95" s="22"/>
      <c r="U95" s="22"/>
    </row>
    <row r="96" spans="1:21" ht="14" x14ac:dyDescent="0.3">
      <c r="A96" s="139" t="s">
        <v>254</v>
      </c>
      <c r="B96" s="85"/>
      <c r="C96" s="85"/>
      <c r="D96" s="85"/>
      <c r="E96" s="85"/>
      <c r="F96" s="86"/>
      <c r="G96" s="85"/>
      <c r="H96" s="85"/>
      <c r="I96" s="85"/>
      <c r="J96" s="85"/>
      <c r="K96" s="86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1" ht="14" x14ac:dyDescent="0.3">
      <c r="A97" s="150" t="s">
        <v>177</v>
      </c>
      <c r="B97" s="22"/>
      <c r="C97" s="22"/>
      <c r="D97" s="22"/>
      <c r="E97" s="22"/>
      <c r="F97" s="24"/>
      <c r="G97" s="22"/>
      <c r="H97" s="22"/>
      <c r="I97" s="22"/>
      <c r="J97" s="22"/>
      <c r="K97" s="24"/>
      <c r="L97" s="22"/>
      <c r="M97" s="22"/>
      <c r="N97" s="22"/>
      <c r="O97" s="22"/>
      <c r="P97" s="22"/>
      <c r="Q97" s="22"/>
      <c r="R97" s="22"/>
      <c r="S97" s="22"/>
      <c r="T97" s="22"/>
      <c r="U97" s="22"/>
    </row>
    <row r="98" spans="1:21" ht="14" x14ac:dyDescent="0.3">
      <c r="A98" s="134" t="s">
        <v>178</v>
      </c>
      <c r="B98" s="22">
        <v>130983</v>
      </c>
      <c r="C98" s="22">
        <v>138322</v>
      </c>
      <c r="D98" s="22">
        <v>157748</v>
      </c>
      <c r="E98" s="22">
        <v>173550</v>
      </c>
      <c r="F98" s="24">
        <v>321113</v>
      </c>
      <c r="G98" s="22">
        <f>Assumptions!G237</f>
        <v>321113</v>
      </c>
      <c r="H98" s="22">
        <f>Assumptions!H237</f>
        <v>321113</v>
      </c>
      <c r="I98" s="22">
        <f>Assumptions!I237</f>
        <v>321113</v>
      </c>
      <c r="J98" s="22">
        <f>Assumptions!J237</f>
        <v>321113</v>
      </c>
      <c r="K98" s="24">
        <f>Assumptions!K237</f>
        <v>321113</v>
      </c>
      <c r="L98" s="22"/>
      <c r="M98" s="22"/>
      <c r="N98" s="22"/>
      <c r="O98" s="22"/>
      <c r="P98" s="22"/>
      <c r="Q98" s="22"/>
      <c r="R98" s="22"/>
      <c r="S98" s="22"/>
      <c r="T98" s="22"/>
      <c r="U98" s="22"/>
    </row>
    <row r="99" spans="1:21" ht="14" x14ac:dyDescent="0.3">
      <c r="A99" s="134" t="s">
        <v>179</v>
      </c>
      <c r="B99" s="22">
        <v>0</v>
      </c>
      <c r="C99" s="22">
        <v>0</v>
      </c>
      <c r="D99" s="22">
        <v>0</v>
      </c>
      <c r="E99" s="22">
        <v>432768</v>
      </c>
      <c r="F99" s="24">
        <v>2923281</v>
      </c>
      <c r="G99" s="22">
        <f>Assumptions!G238</f>
        <v>2923281</v>
      </c>
      <c r="H99" s="22">
        <f t="shared" ref="H99:K100" si="18">G99</f>
        <v>2923281</v>
      </c>
      <c r="I99" s="22">
        <f t="shared" si="18"/>
        <v>2923281</v>
      </c>
      <c r="J99" s="22">
        <f t="shared" si="18"/>
        <v>2923281</v>
      </c>
      <c r="K99" s="22">
        <f t="shared" si="18"/>
        <v>2923281</v>
      </c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1" ht="14" x14ac:dyDescent="0.3">
      <c r="A100" s="22" t="s">
        <v>180</v>
      </c>
      <c r="B100" s="22">
        <v>0</v>
      </c>
      <c r="C100" s="22">
        <v>0</v>
      </c>
      <c r="D100" s="22">
        <v>4000000</v>
      </c>
      <c r="E100" s="1">
        <v>0</v>
      </c>
      <c r="F100" s="24">
        <v>0</v>
      </c>
      <c r="G100" s="22">
        <f>Assumptions!G239</f>
        <v>0</v>
      </c>
      <c r="H100" s="22">
        <f t="shared" si="18"/>
        <v>0</v>
      </c>
      <c r="I100" s="22">
        <f t="shared" si="18"/>
        <v>0</v>
      </c>
      <c r="J100" s="22">
        <f t="shared" si="18"/>
        <v>0</v>
      </c>
      <c r="K100" s="24">
        <f t="shared" si="18"/>
        <v>0</v>
      </c>
      <c r="L100" s="22"/>
      <c r="M100" s="22"/>
      <c r="N100" s="22"/>
      <c r="O100" s="22"/>
      <c r="P100" s="22"/>
      <c r="Q100" s="22"/>
      <c r="R100" s="22"/>
      <c r="S100" s="22"/>
      <c r="T100" s="22"/>
      <c r="U100" s="22"/>
    </row>
    <row r="101" spans="1:21" ht="14" x14ac:dyDescent="0.3">
      <c r="A101" s="134" t="s">
        <v>181</v>
      </c>
      <c r="B101" s="22">
        <v>0</v>
      </c>
      <c r="C101" s="22">
        <v>3718614</v>
      </c>
      <c r="D101" s="22">
        <v>4209046</v>
      </c>
      <c r="E101" s="22">
        <v>5365192</v>
      </c>
      <c r="F101" s="24">
        <v>5945991</v>
      </c>
      <c r="G101" s="22">
        <f>Assumptions!G240</f>
        <v>5945991</v>
      </c>
      <c r="H101" s="22">
        <f>Assumptions!H240</f>
        <v>5945991</v>
      </c>
      <c r="I101" s="22">
        <f>Assumptions!I240</f>
        <v>5945991</v>
      </c>
      <c r="J101" s="22">
        <f>Assumptions!J240</f>
        <v>5945991</v>
      </c>
      <c r="K101" s="24">
        <f>Assumptions!K240</f>
        <v>5945991</v>
      </c>
      <c r="L101" s="22"/>
      <c r="M101" s="22"/>
      <c r="N101" s="22"/>
      <c r="O101" s="22"/>
      <c r="P101" s="22"/>
      <c r="Q101" s="22"/>
      <c r="R101" s="22"/>
      <c r="S101" s="22"/>
      <c r="T101" s="22"/>
      <c r="U101" s="22"/>
    </row>
    <row r="102" spans="1:21" ht="14" x14ac:dyDescent="0.3">
      <c r="A102" s="134" t="s">
        <v>182</v>
      </c>
      <c r="B102" s="22">
        <v>97987</v>
      </c>
      <c r="C102" s="22">
        <v>173067</v>
      </c>
      <c r="D102" s="22">
        <v>171566</v>
      </c>
      <c r="E102" s="22">
        <v>170543</v>
      </c>
      <c r="F102" s="24">
        <v>178788</v>
      </c>
      <c r="G102" s="22">
        <f>Assumptions!G241</f>
        <v>178788</v>
      </c>
      <c r="H102" s="22">
        <f>G102</f>
        <v>178788</v>
      </c>
      <c r="I102" s="22">
        <f>H102</f>
        <v>178788</v>
      </c>
      <c r="J102" s="22">
        <f>I102</f>
        <v>178788</v>
      </c>
      <c r="K102" s="24">
        <f>J102</f>
        <v>178788</v>
      </c>
      <c r="L102" s="22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1" ht="14" x14ac:dyDescent="0.3">
      <c r="A103" s="134"/>
      <c r="B103" s="76">
        <f t="shared" ref="B103:K103" si="19">SUM(B98:B102)</f>
        <v>228970</v>
      </c>
      <c r="C103" s="76">
        <f t="shared" si="19"/>
        <v>4030003</v>
      </c>
      <c r="D103" s="76">
        <f t="shared" si="19"/>
        <v>8538360</v>
      </c>
      <c r="E103" s="76">
        <f t="shared" si="19"/>
        <v>6142053</v>
      </c>
      <c r="F103" s="77">
        <f t="shared" si="19"/>
        <v>9369173</v>
      </c>
      <c r="G103" s="76">
        <f t="shared" si="19"/>
        <v>9369173</v>
      </c>
      <c r="H103" s="76">
        <f t="shared" si="19"/>
        <v>9369173</v>
      </c>
      <c r="I103" s="76">
        <f t="shared" si="19"/>
        <v>9369173</v>
      </c>
      <c r="J103" s="76">
        <f t="shared" si="19"/>
        <v>9369173</v>
      </c>
      <c r="K103" s="77">
        <f t="shared" si="19"/>
        <v>9369173</v>
      </c>
      <c r="L103" s="22"/>
      <c r="M103" s="22"/>
      <c r="N103" s="22"/>
      <c r="O103" s="22"/>
      <c r="P103" s="22"/>
      <c r="Q103" s="22"/>
      <c r="R103" s="22"/>
      <c r="S103" s="22"/>
      <c r="T103" s="22"/>
      <c r="U103" s="22"/>
    </row>
    <row r="104" spans="1:21" ht="14" x14ac:dyDescent="0.3">
      <c r="A104" s="150" t="s">
        <v>183</v>
      </c>
      <c r="B104" s="22"/>
      <c r="C104" s="22"/>
      <c r="D104" s="22"/>
      <c r="E104" s="22"/>
      <c r="F104" s="24"/>
      <c r="G104" s="22"/>
      <c r="H104" s="22"/>
      <c r="I104" s="22"/>
      <c r="J104" s="22"/>
      <c r="K104" s="24"/>
      <c r="L104" s="22"/>
      <c r="M104" s="22"/>
      <c r="N104" s="22"/>
      <c r="O104" s="22"/>
      <c r="P104" s="22"/>
      <c r="Q104" s="22"/>
      <c r="R104" s="22"/>
      <c r="S104" s="22"/>
      <c r="T104" s="22"/>
      <c r="U104" s="22"/>
    </row>
    <row r="105" spans="1:21" ht="14" x14ac:dyDescent="0.3">
      <c r="A105" s="134" t="s">
        <v>157</v>
      </c>
      <c r="B105" s="22">
        <v>33668689</v>
      </c>
      <c r="C105" s="22">
        <v>38401649</v>
      </c>
      <c r="D105" s="22">
        <v>38545390</v>
      </c>
      <c r="E105" s="22">
        <v>60825752</v>
      </c>
      <c r="F105" s="24">
        <v>73703492</v>
      </c>
      <c r="G105" s="22">
        <f>Assumptions!G209</f>
        <v>161473201.42703283</v>
      </c>
      <c r="H105" s="22">
        <f>Assumptions!H209</f>
        <v>194917024.66943306</v>
      </c>
      <c r="I105" s="22">
        <f>Assumptions!I209</f>
        <v>238985733.74065173</v>
      </c>
      <c r="J105" s="22">
        <f>Assumptions!J209</f>
        <v>295506408.58515239</v>
      </c>
      <c r="K105" s="24">
        <f>Assumptions!K209</f>
        <v>365034974.16600049</v>
      </c>
      <c r="L105" s="22"/>
      <c r="M105" s="22"/>
      <c r="N105" s="22"/>
      <c r="O105" s="22"/>
      <c r="P105" s="22"/>
      <c r="Q105" s="22"/>
      <c r="R105" s="22"/>
      <c r="S105" s="22"/>
      <c r="T105" s="22"/>
      <c r="U105" s="22"/>
    </row>
    <row r="106" spans="1:21" ht="14" x14ac:dyDescent="0.3">
      <c r="A106" s="134" t="s">
        <v>184</v>
      </c>
      <c r="B106" s="22">
        <v>0</v>
      </c>
      <c r="C106" s="22">
        <v>0</v>
      </c>
      <c r="D106" s="22">
        <v>477997</v>
      </c>
      <c r="E106" s="22">
        <v>1105953</v>
      </c>
      <c r="F106" s="24">
        <v>1442366</v>
      </c>
      <c r="G106" s="22">
        <f>Assumptions!G244</f>
        <v>1442366</v>
      </c>
      <c r="H106" s="22">
        <f>Assumptions!H244</f>
        <v>1442366</v>
      </c>
      <c r="I106" s="22">
        <f>Assumptions!I244</f>
        <v>1442366</v>
      </c>
      <c r="J106" s="22">
        <f>Assumptions!J244</f>
        <v>1442366</v>
      </c>
      <c r="K106" s="24">
        <f>Assumptions!K244</f>
        <v>1442366</v>
      </c>
      <c r="L106" s="22"/>
      <c r="M106" s="22"/>
      <c r="N106" s="22"/>
      <c r="O106" s="22"/>
      <c r="P106" s="22"/>
      <c r="Q106" s="22"/>
      <c r="R106" s="22"/>
      <c r="S106" s="22"/>
      <c r="T106" s="22"/>
      <c r="U106" s="22"/>
    </row>
    <row r="107" spans="1:21" ht="14" x14ac:dyDescent="0.3">
      <c r="A107" s="134" t="s">
        <v>185</v>
      </c>
      <c r="B107" s="22">
        <v>142960</v>
      </c>
      <c r="C107" s="22">
        <v>165094</v>
      </c>
      <c r="D107" s="22">
        <v>257548</v>
      </c>
      <c r="E107" s="22">
        <v>293906</v>
      </c>
      <c r="F107" s="24">
        <v>278892</v>
      </c>
      <c r="G107" s="22">
        <f>Assumptions!G246</f>
        <v>278892</v>
      </c>
      <c r="H107" s="22">
        <f>Assumptions!H246</f>
        <v>278892</v>
      </c>
      <c r="I107" s="22">
        <f>Assumptions!I246</f>
        <v>278892</v>
      </c>
      <c r="J107" s="22">
        <f>Assumptions!J246</f>
        <v>278892</v>
      </c>
      <c r="K107" s="24">
        <f>Assumptions!K246</f>
        <v>278892</v>
      </c>
      <c r="L107" s="22"/>
      <c r="M107" s="22"/>
      <c r="N107" s="22"/>
      <c r="O107" s="22"/>
      <c r="P107" s="22"/>
      <c r="Q107" s="22"/>
      <c r="R107" s="22"/>
      <c r="S107" s="22"/>
      <c r="T107" s="22"/>
      <c r="U107" s="22"/>
    </row>
    <row r="108" spans="1:21" ht="14" x14ac:dyDescent="0.3">
      <c r="A108" s="134" t="s">
        <v>186</v>
      </c>
      <c r="B108" s="22">
        <v>190081</v>
      </c>
      <c r="C108" s="22">
        <v>154623</v>
      </c>
      <c r="D108" s="22">
        <v>59396</v>
      </c>
      <c r="E108" s="22">
        <v>0</v>
      </c>
      <c r="F108" s="24">
        <v>508954</v>
      </c>
      <c r="G108" s="22">
        <f>Assumptions!G248</f>
        <v>508954</v>
      </c>
      <c r="H108" s="22">
        <f>Assumptions!H248</f>
        <v>508954</v>
      </c>
      <c r="I108" s="22">
        <f>Assumptions!I248</f>
        <v>508954</v>
      </c>
      <c r="J108" s="22">
        <f>Assumptions!J248</f>
        <v>508954</v>
      </c>
      <c r="K108" s="24">
        <f>Assumptions!K248</f>
        <v>508954</v>
      </c>
      <c r="L108" s="22"/>
      <c r="M108" s="22"/>
      <c r="N108" s="22"/>
      <c r="O108" s="22"/>
      <c r="P108" s="22"/>
      <c r="Q108" s="22"/>
      <c r="R108" s="22"/>
      <c r="S108" s="22"/>
      <c r="T108" s="22"/>
      <c r="U108" s="22"/>
    </row>
    <row r="109" spans="1:21" ht="14" x14ac:dyDescent="0.3">
      <c r="A109" s="134" t="s">
        <v>187</v>
      </c>
      <c r="B109" s="22">
        <v>3110</v>
      </c>
      <c r="C109" s="22">
        <v>11747</v>
      </c>
      <c r="D109" s="22">
        <v>1936</v>
      </c>
      <c r="E109" s="22">
        <v>1187</v>
      </c>
      <c r="F109" s="24">
        <v>2848</v>
      </c>
      <c r="G109" s="22">
        <f>F109</f>
        <v>2848</v>
      </c>
      <c r="H109" s="22">
        <f>G109</f>
        <v>2848</v>
      </c>
      <c r="I109" s="22">
        <f>H109</f>
        <v>2848</v>
      </c>
      <c r="J109" s="22">
        <f>I109</f>
        <v>2848</v>
      </c>
      <c r="K109" s="24">
        <f>J109</f>
        <v>2848</v>
      </c>
      <c r="L109" s="22"/>
      <c r="M109" s="22"/>
      <c r="N109" s="22"/>
      <c r="O109" s="22"/>
      <c r="P109" s="22"/>
      <c r="Q109" s="22"/>
      <c r="R109" s="22"/>
      <c r="S109" s="22"/>
      <c r="T109" s="22"/>
      <c r="U109" s="22"/>
    </row>
    <row r="110" spans="1:21" ht="14" x14ac:dyDescent="0.3">
      <c r="A110" s="134" t="s">
        <v>188</v>
      </c>
      <c r="B110" s="22">
        <v>8052978</v>
      </c>
      <c r="C110" s="22">
        <v>8154343</v>
      </c>
      <c r="D110" s="22">
        <v>6150510</v>
      </c>
      <c r="E110" s="22">
        <v>0</v>
      </c>
      <c r="F110" s="69">
        <v>0</v>
      </c>
      <c r="G110" s="134">
        <f>Assumptions!G252</f>
        <v>0</v>
      </c>
      <c r="H110" s="22">
        <f>Assumptions!H252</f>
        <v>0</v>
      </c>
      <c r="I110" s="22">
        <f>Assumptions!I252</f>
        <v>0</v>
      </c>
      <c r="J110" s="22">
        <f>Assumptions!J252</f>
        <v>0</v>
      </c>
      <c r="K110" s="24">
        <f>Assumptions!K252</f>
        <v>0</v>
      </c>
      <c r="L110" s="22"/>
      <c r="M110" s="22"/>
      <c r="N110" s="22"/>
      <c r="O110" s="22"/>
      <c r="P110" s="22"/>
      <c r="Q110" s="22"/>
      <c r="R110" s="22"/>
      <c r="S110" s="22"/>
      <c r="T110" s="22"/>
      <c r="U110" s="22"/>
    </row>
    <row r="111" spans="1:21" ht="14" x14ac:dyDescent="0.3">
      <c r="A111" s="134" t="s">
        <v>189</v>
      </c>
      <c r="B111" s="22">
        <v>476458</v>
      </c>
      <c r="C111" s="22">
        <v>559652</v>
      </c>
      <c r="D111" s="22">
        <v>522870</v>
      </c>
      <c r="E111" s="22">
        <v>477857</v>
      </c>
      <c r="F111" s="24">
        <v>882792</v>
      </c>
      <c r="G111" s="22">
        <f>Assumptions!G254</f>
        <v>882792</v>
      </c>
      <c r="H111" s="22">
        <f>Assumptions!H254</f>
        <v>882792</v>
      </c>
      <c r="I111" s="22">
        <f>Assumptions!I254</f>
        <v>882792</v>
      </c>
      <c r="J111" s="22">
        <f>Assumptions!J254</f>
        <v>882792</v>
      </c>
      <c r="K111" s="24">
        <f>Assumptions!K254</f>
        <v>882792</v>
      </c>
      <c r="L111" s="22"/>
      <c r="M111" s="22"/>
      <c r="N111" s="22"/>
      <c r="O111" s="22"/>
      <c r="P111" s="22"/>
      <c r="Q111" s="22"/>
      <c r="R111" s="22"/>
      <c r="S111" s="22"/>
      <c r="T111" s="22"/>
      <c r="U111" s="22"/>
    </row>
    <row r="112" spans="1:21" ht="14" x14ac:dyDescent="0.3">
      <c r="A112" s="134" t="s">
        <v>190</v>
      </c>
      <c r="B112" s="22">
        <v>0</v>
      </c>
      <c r="C112" s="22">
        <v>0</v>
      </c>
      <c r="D112" s="22">
        <v>0</v>
      </c>
      <c r="E112" s="22">
        <v>0</v>
      </c>
      <c r="F112" s="24">
        <v>236964</v>
      </c>
      <c r="G112" s="22">
        <f>Assumptions!G256</f>
        <v>236964</v>
      </c>
      <c r="H112" s="22">
        <f>Assumptions!H256</f>
        <v>236964</v>
      </c>
      <c r="I112" s="22">
        <f>Assumptions!I256</f>
        <v>236964</v>
      </c>
      <c r="J112" s="22">
        <f>Assumptions!J256</f>
        <v>236964</v>
      </c>
      <c r="K112" s="24">
        <f>Assumptions!K256</f>
        <v>236964</v>
      </c>
      <c r="L112" s="22"/>
      <c r="M112" s="22"/>
      <c r="N112" s="22"/>
      <c r="O112" s="22"/>
      <c r="P112" s="22"/>
      <c r="Q112" s="22"/>
      <c r="R112" s="22"/>
      <c r="S112" s="22"/>
      <c r="T112" s="22"/>
      <c r="U112" s="22"/>
    </row>
    <row r="113" spans="1:21" ht="14" x14ac:dyDescent="0.3">
      <c r="A113" s="134" t="s">
        <v>191</v>
      </c>
      <c r="B113" s="22">
        <v>0</v>
      </c>
      <c r="C113" s="28">
        <v>406763</v>
      </c>
      <c r="D113" s="28">
        <v>742959</v>
      </c>
      <c r="E113" s="28">
        <v>681685</v>
      </c>
      <c r="F113" s="29">
        <v>709793</v>
      </c>
      <c r="G113" s="28">
        <f>Assumptions!G258</f>
        <v>709793</v>
      </c>
      <c r="H113" s="28">
        <f>Assumptions!H258</f>
        <v>709793</v>
      </c>
      <c r="I113" s="28">
        <f>Assumptions!I258</f>
        <v>709793</v>
      </c>
      <c r="J113" s="28">
        <f>Assumptions!J258</f>
        <v>709793</v>
      </c>
      <c r="K113" s="29">
        <f>Assumptions!K258</f>
        <v>709793</v>
      </c>
      <c r="L113" s="22"/>
      <c r="M113" s="22"/>
      <c r="N113" s="22"/>
      <c r="O113" s="22"/>
      <c r="P113" s="22"/>
      <c r="Q113" s="22"/>
      <c r="R113" s="22"/>
      <c r="S113" s="22"/>
      <c r="T113" s="22"/>
      <c r="U113" s="22"/>
    </row>
    <row r="114" spans="1:21" ht="14" x14ac:dyDescent="0.3">
      <c r="A114" s="134"/>
      <c r="B114" s="76">
        <f t="shared" ref="B114:K114" si="20">SUM(B105:B113)</f>
        <v>42534276</v>
      </c>
      <c r="C114" s="149">
        <f t="shared" si="20"/>
        <v>47853871</v>
      </c>
      <c r="D114" s="149">
        <f t="shared" si="20"/>
        <v>46758606</v>
      </c>
      <c r="E114" s="149">
        <f t="shared" si="20"/>
        <v>63386340</v>
      </c>
      <c r="F114" s="155">
        <f t="shared" si="20"/>
        <v>77766101</v>
      </c>
      <c r="G114" s="149">
        <f t="shared" si="20"/>
        <v>165535810.42703283</v>
      </c>
      <c r="H114" s="149">
        <f t="shared" si="20"/>
        <v>198979633.66943306</v>
      </c>
      <c r="I114" s="149">
        <f t="shared" si="20"/>
        <v>243048342.74065173</v>
      </c>
      <c r="J114" s="149">
        <f t="shared" si="20"/>
        <v>299569017.58515239</v>
      </c>
      <c r="K114" s="155">
        <f t="shared" si="20"/>
        <v>369097583.16600049</v>
      </c>
      <c r="L114" s="22"/>
      <c r="M114" s="22"/>
      <c r="N114" s="22"/>
      <c r="O114" s="22"/>
      <c r="P114" s="22"/>
      <c r="Q114" s="22"/>
      <c r="R114" s="22"/>
      <c r="S114" s="22"/>
      <c r="T114" s="22"/>
      <c r="U114" s="22"/>
    </row>
    <row r="115" spans="1:21" ht="14" x14ac:dyDescent="0.3">
      <c r="A115" s="150"/>
      <c r="B115" s="149"/>
      <c r="C115" s="149"/>
      <c r="D115" s="149"/>
      <c r="E115" s="149"/>
      <c r="F115" s="155"/>
      <c r="G115" s="149"/>
      <c r="H115" s="149"/>
      <c r="I115" s="149"/>
      <c r="J115" s="149"/>
      <c r="K115" s="155"/>
      <c r="L115" s="22"/>
      <c r="M115" s="22"/>
      <c r="N115" s="22"/>
      <c r="O115" s="22"/>
      <c r="P115" s="22"/>
      <c r="Q115" s="22"/>
      <c r="R115" s="22"/>
      <c r="S115" s="22"/>
      <c r="T115" s="22"/>
      <c r="U115" s="22"/>
    </row>
    <row r="116" spans="1:21" ht="14" x14ac:dyDescent="0.3">
      <c r="A116" s="150" t="s">
        <v>255</v>
      </c>
      <c r="B116" s="125">
        <f t="shared" ref="B116:K116" si="21">B103+B114</f>
        <v>42763246</v>
      </c>
      <c r="C116" s="125">
        <f t="shared" si="21"/>
        <v>51883874</v>
      </c>
      <c r="D116" s="125">
        <f t="shared" si="21"/>
        <v>55296966</v>
      </c>
      <c r="E116" s="125">
        <f t="shared" si="21"/>
        <v>69528393</v>
      </c>
      <c r="F116" s="126">
        <f t="shared" si="21"/>
        <v>87135274</v>
      </c>
      <c r="G116" s="125">
        <f t="shared" si="21"/>
        <v>174904983.42703283</v>
      </c>
      <c r="H116" s="125">
        <f t="shared" si="21"/>
        <v>208348806.66943306</v>
      </c>
      <c r="I116" s="125">
        <f t="shared" si="21"/>
        <v>252417515.74065173</v>
      </c>
      <c r="J116" s="125">
        <f t="shared" si="21"/>
        <v>308938190.58515239</v>
      </c>
      <c r="K116" s="126">
        <f t="shared" si="21"/>
        <v>378466756.16600049</v>
      </c>
      <c r="L116" s="22"/>
      <c r="M116" s="22"/>
      <c r="N116" s="22"/>
      <c r="O116" s="22"/>
      <c r="P116" s="22"/>
      <c r="Q116" s="22"/>
      <c r="R116" s="22"/>
      <c r="S116" s="22"/>
      <c r="T116" s="22"/>
      <c r="U116" s="22"/>
    </row>
    <row r="117" spans="1:21" ht="14" x14ac:dyDescent="0.3">
      <c r="A117" s="134"/>
      <c r="B117" s="22"/>
      <c r="C117" s="22"/>
      <c r="D117" s="22"/>
      <c r="E117" s="22"/>
      <c r="F117" s="24"/>
      <c r="G117" s="22"/>
      <c r="H117" s="22"/>
      <c r="I117" s="22"/>
      <c r="J117" s="22"/>
      <c r="K117" s="24"/>
      <c r="L117" s="22"/>
      <c r="M117" s="22"/>
      <c r="N117" s="22"/>
      <c r="O117" s="22"/>
      <c r="P117" s="22"/>
      <c r="Q117" s="22"/>
      <c r="R117" s="22"/>
      <c r="S117" s="22"/>
      <c r="T117" s="22"/>
      <c r="U117" s="22"/>
    </row>
    <row r="118" spans="1:21" ht="14" x14ac:dyDescent="0.3">
      <c r="A118" s="115" t="s">
        <v>256</v>
      </c>
      <c r="B118" s="125">
        <f t="shared" ref="B118:K118" si="22">B116+B94</f>
        <v>49116568</v>
      </c>
      <c r="C118" s="125">
        <f t="shared" si="22"/>
        <v>56175007</v>
      </c>
      <c r="D118" s="125">
        <f t="shared" si="22"/>
        <v>54645807</v>
      </c>
      <c r="E118" s="125">
        <f t="shared" si="22"/>
        <v>84849869</v>
      </c>
      <c r="F118" s="125">
        <f t="shared" si="22"/>
        <v>101732369</v>
      </c>
      <c r="G118" s="173">
        <f t="shared" ca="1" si="22"/>
        <v>186664086.11436847</v>
      </c>
      <c r="H118" s="125">
        <f t="shared" ca="1" si="22"/>
        <v>218700220.85047811</v>
      </c>
      <c r="I118" s="125">
        <f t="shared" ca="1" si="22"/>
        <v>258232576.76495352</v>
      </c>
      <c r="J118" s="125">
        <f t="shared" ca="1" si="22"/>
        <v>307978442.75117391</v>
      </c>
      <c r="K118" s="126">
        <f t="shared" ca="1" si="22"/>
        <v>367825545.31008756</v>
      </c>
      <c r="L118" s="22"/>
      <c r="M118" s="22"/>
      <c r="N118" s="22"/>
      <c r="O118" s="22"/>
      <c r="P118" s="22"/>
      <c r="Q118" s="22"/>
      <c r="R118" s="22"/>
      <c r="S118" s="22"/>
      <c r="T118" s="22"/>
      <c r="U118" s="22"/>
    </row>
    <row r="119" spans="1:21" ht="14" hidden="1" x14ac:dyDescent="0.3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</row>
    <row r="120" spans="1:21" ht="14" hidden="1" x14ac:dyDescent="0.3">
      <c r="A120" s="139" t="s">
        <v>257</v>
      </c>
      <c r="B120" s="85"/>
      <c r="C120" s="85"/>
      <c r="D120" s="85"/>
      <c r="E120" s="85"/>
      <c r="F120" s="86"/>
      <c r="G120" s="85"/>
      <c r="H120" s="85"/>
      <c r="I120" s="85"/>
      <c r="J120" s="85"/>
      <c r="K120" s="86"/>
      <c r="L120" s="22"/>
      <c r="M120" s="22"/>
      <c r="N120" s="22"/>
      <c r="O120" s="22"/>
      <c r="P120" s="22"/>
      <c r="Q120" s="22"/>
      <c r="R120" s="22"/>
      <c r="S120" s="22"/>
      <c r="T120" s="22"/>
      <c r="U120" s="22"/>
    </row>
    <row r="121" spans="1:21" ht="14" hidden="1" x14ac:dyDescent="0.3">
      <c r="A121" s="134"/>
      <c r="B121" s="22"/>
      <c r="C121" s="22"/>
      <c r="D121" s="22"/>
      <c r="E121" s="22"/>
      <c r="F121" s="24"/>
      <c r="G121" s="22"/>
      <c r="H121" s="22"/>
      <c r="I121" s="22"/>
      <c r="J121" s="22"/>
      <c r="K121" s="24"/>
      <c r="L121" s="22"/>
      <c r="M121" s="22"/>
      <c r="N121" s="22"/>
      <c r="O121" s="22"/>
      <c r="P121" s="22"/>
      <c r="Q121" s="22"/>
      <c r="R121" s="22"/>
      <c r="S121" s="22"/>
      <c r="T121" s="22"/>
      <c r="U121" s="22"/>
    </row>
    <row r="122" spans="1:21" ht="14" hidden="1" x14ac:dyDescent="0.3">
      <c r="A122" s="134" t="s">
        <v>258</v>
      </c>
      <c r="B122" s="22">
        <v>-2372077</v>
      </c>
      <c r="C122" s="22">
        <v>4499953</v>
      </c>
      <c r="D122" s="22">
        <v>2677755</v>
      </c>
      <c r="E122" s="22">
        <v>7363882</v>
      </c>
      <c r="F122" s="24">
        <v>14097249</v>
      </c>
      <c r="G122" s="22"/>
      <c r="H122" s="22"/>
      <c r="I122" s="22"/>
      <c r="J122" s="22"/>
      <c r="K122" s="24"/>
      <c r="L122" s="22"/>
      <c r="M122" s="22"/>
      <c r="N122" s="22"/>
      <c r="O122" s="22"/>
      <c r="P122" s="22"/>
      <c r="Q122" s="22"/>
      <c r="R122" s="22"/>
      <c r="S122" s="22"/>
      <c r="T122" s="22"/>
      <c r="U122" s="22"/>
    </row>
    <row r="123" spans="1:21" ht="14" hidden="1" x14ac:dyDescent="0.3">
      <c r="A123" s="134" t="s">
        <v>259</v>
      </c>
      <c r="B123" s="22">
        <v>-202351</v>
      </c>
      <c r="C123" s="22">
        <v>-921901</v>
      </c>
      <c r="D123" s="22">
        <v>-955893</v>
      </c>
      <c r="E123" s="22">
        <v>-121038</v>
      </c>
      <c r="F123" s="24">
        <v>-419953</v>
      </c>
      <c r="G123" s="22"/>
      <c r="H123" s="22"/>
      <c r="I123" s="22"/>
      <c r="J123" s="22"/>
      <c r="K123" s="24"/>
      <c r="L123" s="22"/>
      <c r="M123" s="22"/>
      <c r="N123" s="22"/>
      <c r="O123" s="22"/>
      <c r="P123" s="22"/>
      <c r="Q123" s="22"/>
      <c r="R123" s="22"/>
      <c r="S123" s="22"/>
      <c r="T123" s="22"/>
      <c r="U123" s="22"/>
    </row>
    <row r="124" spans="1:21" ht="14" hidden="1" x14ac:dyDescent="0.3">
      <c r="A124" s="134" t="s">
        <v>260</v>
      </c>
      <c r="B124" s="22">
        <v>0</v>
      </c>
      <c r="C124" s="22">
        <v>0</v>
      </c>
      <c r="D124" s="22">
        <v>0</v>
      </c>
      <c r="E124" s="22">
        <v>0</v>
      </c>
      <c r="F124" s="24">
        <v>-647402</v>
      </c>
      <c r="G124" s="22"/>
      <c r="H124" s="22"/>
      <c r="I124" s="22"/>
      <c r="J124" s="22"/>
      <c r="K124" s="24"/>
      <c r="L124" s="22"/>
      <c r="M124" s="22"/>
      <c r="N124" s="22"/>
      <c r="O124" s="22"/>
      <c r="P124" s="22"/>
      <c r="Q124" s="22"/>
      <c r="R124" s="22"/>
      <c r="S124" s="22"/>
      <c r="T124" s="22"/>
      <c r="U124" s="22"/>
    </row>
    <row r="125" spans="1:21" ht="14" hidden="1" x14ac:dyDescent="0.3">
      <c r="A125" s="134" t="s">
        <v>261</v>
      </c>
      <c r="B125" s="22">
        <v>-581319</v>
      </c>
      <c r="C125" s="22">
        <v>-1332366</v>
      </c>
      <c r="D125" s="22">
        <v>-23423</v>
      </c>
      <c r="E125" s="22">
        <v>-546047</v>
      </c>
      <c r="F125" s="24">
        <v>-2636175</v>
      </c>
      <c r="G125" s="22"/>
      <c r="H125" s="22"/>
      <c r="I125" s="22"/>
      <c r="J125" s="22"/>
      <c r="K125" s="24"/>
      <c r="L125" s="22"/>
      <c r="M125" s="22"/>
      <c r="N125" s="22"/>
      <c r="O125" s="22"/>
      <c r="P125" s="22"/>
      <c r="Q125" s="22"/>
      <c r="R125" s="22"/>
      <c r="S125" s="22"/>
      <c r="T125" s="22"/>
      <c r="U125" s="22"/>
    </row>
    <row r="126" spans="1:21" ht="14" hidden="1" x14ac:dyDescent="0.3">
      <c r="A126" s="134" t="s">
        <v>262</v>
      </c>
      <c r="B126" s="22">
        <v>-7256</v>
      </c>
      <c r="C126" s="22">
        <v>-8509</v>
      </c>
      <c r="D126" s="22">
        <v>-591835</v>
      </c>
      <c r="E126" s="22">
        <v>-1919139</v>
      </c>
      <c r="F126" s="24">
        <v>-13723</v>
      </c>
      <c r="G126" s="22"/>
      <c r="H126" s="22"/>
      <c r="I126" s="22"/>
      <c r="J126" s="22"/>
      <c r="K126" s="24"/>
      <c r="L126" s="22"/>
      <c r="M126" s="22"/>
      <c r="N126" s="22"/>
      <c r="O126" s="22"/>
      <c r="P126" s="22"/>
      <c r="Q126" s="22"/>
      <c r="R126" s="22"/>
      <c r="S126" s="22"/>
      <c r="T126" s="22"/>
      <c r="U126" s="22"/>
    </row>
    <row r="127" spans="1:21" ht="14" hidden="1" x14ac:dyDescent="0.3">
      <c r="A127" s="134" t="s">
        <v>263</v>
      </c>
      <c r="B127" s="22">
        <v>-594132</v>
      </c>
      <c r="C127" s="22">
        <v>723418</v>
      </c>
      <c r="D127" s="22">
        <v>4454</v>
      </c>
      <c r="E127" s="22">
        <v>-8309</v>
      </c>
      <c r="F127" s="24">
        <v>45666</v>
      </c>
      <c r="G127" s="22"/>
      <c r="H127" s="22"/>
      <c r="I127" s="22"/>
      <c r="J127" s="22"/>
      <c r="K127" s="24"/>
      <c r="L127" s="22"/>
      <c r="M127" s="22"/>
      <c r="N127" s="22"/>
      <c r="O127" s="22"/>
      <c r="P127" s="22"/>
      <c r="Q127" s="22"/>
      <c r="R127" s="22"/>
      <c r="S127" s="22"/>
      <c r="T127" s="22"/>
      <c r="U127" s="22"/>
    </row>
    <row r="128" spans="1:21" ht="14" hidden="1" x14ac:dyDescent="0.3">
      <c r="A128" s="134" t="s">
        <v>264</v>
      </c>
      <c r="B128" s="22">
        <v>92118</v>
      </c>
      <c r="C128" s="22">
        <v>0</v>
      </c>
      <c r="D128" s="22">
        <v>960</v>
      </c>
      <c r="E128" s="22">
        <v>-106967</v>
      </c>
      <c r="F128" s="24">
        <v>0</v>
      </c>
      <c r="G128" s="22"/>
      <c r="H128" s="22"/>
      <c r="I128" s="22"/>
      <c r="J128" s="22"/>
      <c r="K128" s="24"/>
      <c r="L128" s="22"/>
      <c r="M128" s="22"/>
      <c r="N128" s="22"/>
      <c r="O128" s="22"/>
      <c r="P128" s="22"/>
      <c r="Q128" s="22"/>
      <c r="R128" s="22"/>
      <c r="S128" s="22"/>
      <c r="T128" s="22"/>
      <c r="U128" s="22"/>
    </row>
    <row r="129" spans="1:21" ht="14" hidden="1" x14ac:dyDescent="0.3">
      <c r="A129" s="134" t="s">
        <v>265</v>
      </c>
      <c r="B129" s="22"/>
      <c r="C129" s="22">
        <v>-11013</v>
      </c>
      <c r="D129" s="22">
        <v>-10834</v>
      </c>
      <c r="E129" s="22">
        <v>-11163</v>
      </c>
      <c r="F129" s="24">
        <v>-11164</v>
      </c>
      <c r="G129" s="22"/>
      <c r="H129" s="22"/>
      <c r="I129" s="22"/>
      <c r="J129" s="22"/>
      <c r="K129" s="24"/>
      <c r="L129" s="22"/>
      <c r="M129" s="22"/>
      <c r="N129" s="22"/>
      <c r="O129" s="22"/>
      <c r="P129" s="22"/>
      <c r="Q129" s="22"/>
      <c r="R129" s="22"/>
      <c r="S129" s="22"/>
      <c r="T129" s="22"/>
      <c r="U129" s="22"/>
    </row>
    <row r="130" spans="1:21" ht="14" hidden="1" x14ac:dyDescent="0.3">
      <c r="A130" s="150" t="s">
        <v>266</v>
      </c>
      <c r="B130" s="125">
        <f>B122+B123+B125+B126+B127+B128</f>
        <v>-3665017</v>
      </c>
      <c r="C130" s="125">
        <f>C122+C123+C125+C126+C127+C128+C129</f>
        <v>2949582</v>
      </c>
      <c r="D130" s="125">
        <f>D122+D123+D125+D126+D127+D128+D129</f>
        <v>1101184</v>
      </c>
      <c r="E130" s="125">
        <f>E122+E123+E125+E126+E127+E128+E129</f>
        <v>4651219</v>
      </c>
      <c r="F130" s="126">
        <f>F122+F123+F124+F125+F126+F127+F128+F129</f>
        <v>10414498</v>
      </c>
      <c r="G130" s="125"/>
      <c r="H130" s="125"/>
      <c r="I130" s="125"/>
      <c r="J130" s="125"/>
      <c r="K130" s="126"/>
      <c r="L130" s="22"/>
      <c r="M130" s="22"/>
      <c r="N130" s="22"/>
      <c r="O130" s="22"/>
      <c r="P130" s="22"/>
      <c r="Q130" s="22"/>
      <c r="R130" s="22"/>
      <c r="S130" s="22"/>
      <c r="T130" s="22"/>
      <c r="U130" s="22"/>
    </row>
    <row r="131" spans="1:21" ht="14" hidden="1" x14ac:dyDescent="0.3">
      <c r="A131" s="134"/>
      <c r="B131" s="22"/>
      <c r="C131" s="22"/>
      <c r="D131" s="22"/>
      <c r="E131" s="22"/>
      <c r="F131" s="24"/>
      <c r="G131" s="22"/>
      <c r="H131" s="22"/>
      <c r="I131" s="22"/>
      <c r="J131" s="22"/>
      <c r="K131" s="24"/>
      <c r="L131" s="22"/>
      <c r="M131" s="22"/>
      <c r="N131" s="22"/>
      <c r="O131" s="22"/>
      <c r="P131" s="22"/>
      <c r="Q131" s="22"/>
      <c r="R131" s="22"/>
      <c r="S131" s="22"/>
      <c r="T131" s="22"/>
      <c r="U131" s="22"/>
    </row>
    <row r="132" spans="1:21" ht="14" hidden="1" x14ac:dyDescent="0.3">
      <c r="A132" s="150" t="s">
        <v>267</v>
      </c>
      <c r="B132" s="22"/>
      <c r="C132" s="22"/>
      <c r="D132" s="22"/>
      <c r="E132" s="22"/>
      <c r="F132" s="24"/>
      <c r="G132" s="22"/>
      <c r="H132" s="22"/>
      <c r="I132" s="22"/>
      <c r="J132" s="22"/>
      <c r="K132" s="24"/>
      <c r="L132" s="22"/>
      <c r="M132" s="22"/>
      <c r="N132" s="22"/>
      <c r="O132" s="22"/>
      <c r="P132" s="22"/>
      <c r="Q132" s="22"/>
      <c r="R132" s="22"/>
      <c r="S132" s="22"/>
      <c r="T132" s="22"/>
      <c r="U132" s="22"/>
    </row>
    <row r="133" spans="1:21" ht="14" hidden="1" x14ac:dyDescent="0.3">
      <c r="A133" s="134"/>
      <c r="B133" s="22"/>
      <c r="C133" s="22"/>
      <c r="D133" s="22"/>
      <c r="E133" s="22"/>
      <c r="F133" s="24"/>
      <c r="G133" s="22"/>
      <c r="H133" s="22"/>
      <c r="I133" s="22"/>
      <c r="J133" s="22"/>
      <c r="K133" s="24"/>
      <c r="L133" s="22"/>
      <c r="M133" s="22"/>
      <c r="N133" s="22"/>
      <c r="O133" s="22"/>
      <c r="P133" s="22"/>
      <c r="Q133" s="22"/>
      <c r="R133" s="22"/>
      <c r="S133" s="22"/>
      <c r="T133" s="22"/>
      <c r="U133" s="22"/>
    </row>
    <row r="134" spans="1:21" ht="14" hidden="1" x14ac:dyDescent="0.3">
      <c r="A134" s="134" t="s">
        <v>268</v>
      </c>
      <c r="B134" s="22">
        <v>-2695297</v>
      </c>
      <c r="C134" s="22">
        <v>-2500938</v>
      </c>
      <c r="D134" s="22">
        <v>-3103741</v>
      </c>
      <c r="E134" s="22">
        <v>-4243869</v>
      </c>
      <c r="F134" s="24">
        <v>-4810967</v>
      </c>
      <c r="G134" s="22"/>
      <c r="H134" s="22"/>
      <c r="I134" s="22"/>
      <c r="J134" s="22"/>
      <c r="K134" s="24"/>
      <c r="L134" s="22"/>
      <c r="M134" s="22"/>
      <c r="N134" s="22"/>
      <c r="O134" s="22"/>
      <c r="P134" s="22"/>
      <c r="Q134" s="22"/>
      <c r="R134" s="22"/>
      <c r="S134" s="22"/>
      <c r="T134" s="22"/>
      <c r="U134" s="22"/>
    </row>
    <row r="135" spans="1:21" ht="14" hidden="1" x14ac:dyDescent="0.3">
      <c r="A135" s="134" t="s">
        <v>269</v>
      </c>
      <c r="B135" s="22">
        <v>106</v>
      </c>
      <c r="C135" s="22">
        <v>500</v>
      </c>
      <c r="D135" s="22">
        <v>12795</v>
      </c>
      <c r="E135" s="22">
        <v>18482</v>
      </c>
      <c r="F135" s="24">
        <v>60341</v>
      </c>
      <c r="G135" s="22"/>
      <c r="H135" s="22"/>
      <c r="I135" s="22"/>
      <c r="J135" s="22"/>
      <c r="K135" s="24"/>
      <c r="L135" s="22"/>
      <c r="M135" s="22"/>
      <c r="N135" s="22"/>
      <c r="O135" s="22"/>
      <c r="P135" s="22"/>
      <c r="Q135" s="22"/>
      <c r="R135" s="22"/>
      <c r="S135" s="22"/>
      <c r="T135" s="22"/>
      <c r="U135" s="22"/>
    </row>
    <row r="136" spans="1:21" ht="14" hidden="1" x14ac:dyDescent="0.3">
      <c r="A136" s="134" t="s">
        <v>270</v>
      </c>
      <c r="B136" s="22">
        <v>589329</v>
      </c>
      <c r="C136" s="22">
        <v>613657</v>
      </c>
      <c r="D136" s="22">
        <v>760439</v>
      </c>
      <c r="E136" s="22">
        <v>832308</v>
      </c>
      <c r="F136" s="24">
        <v>705350</v>
      </c>
      <c r="G136" s="22"/>
      <c r="H136" s="22"/>
      <c r="I136" s="22"/>
      <c r="J136" s="22"/>
      <c r="K136" s="24"/>
      <c r="L136" s="22"/>
      <c r="M136" s="22"/>
      <c r="N136" s="22"/>
      <c r="O136" s="22"/>
      <c r="P136" s="22"/>
      <c r="Q136" s="22"/>
      <c r="R136" s="22"/>
      <c r="S136" s="22"/>
      <c r="T136" s="22"/>
      <c r="U136" s="22"/>
    </row>
    <row r="137" spans="1:21" ht="14" hidden="1" x14ac:dyDescent="0.3">
      <c r="A137" s="134" t="s">
        <v>264</v>
      </c>
      <c r="B137" s="22"/>
      <c r="C137" s="22">
        <v>35021</v>
      </c>
      <c r="D137" s="22">
        <v>28475</v>
      </c>
      <c r="E137" s="22">
        <v>29681</v>
      </c>
      <c r="F137" s="24">
        <v>115471</v>
      </c>
      <c r="G137" s="22"/>
      <c r="H137" s="22"/>
      <c r="I137" s="22"/>
      <c r="J137" s="22"/>
      <c r="K137" s="24"/>
      <c r="L137" s="22"/>
      <c r="M137" s="22"/>
      <c r="N137" s="22"/>
      <c r="O137" s="22"/>
      <c r="P137" s="22"/>
      <c r="Q137" s="22"/>
      <c r="R137" s="22"/>
      <c r="S137" s="22"/>
      <c r="T137" s="22"/>
      <c r="U137" s="22"/>
    </row>
    <row r="138" spans="1:21" ht="14" hidden="1" x14ac:dyDescent="0.3">
      <c r="A138" s="134" t="s">
        <v>271</v>
      </c>
      <c r="B138" s="22"/>
      <c r="C138" s="22"/>
      <c r="D138" s="22"/>
      <c r="E138" s="22">
        <v>156107</v>
      </c>
      <c r="F138" s="24">
        <v>195788</v>
      </c>
      <c r="G138" s="22"/>
      <c r="H138" s="22"/>
      <c r="I138" s="22"/>
      <c r="J138" s="22"/>
      <c r="K138" s="24"/>
      <c r="L138" s="22"/>
      <c r="M138" s="22"/>
      <c r="N138" s="22"/>
      <c r="O138" s="22"/>
      <c r="P138" s="22"/>
      <c r="Q138" s="22"/>
      <c r="R138" s="22"/>
      <c r="S138" s="22"/>
      <c r="T138" s="22"/>
      <c r="U138" s="22"/>
    </row>
    <row r="139" spans="1:21" ht="14" hidden="1" x14ac:dyDescent="0.3">
      <c r="A139" s="150" t="s">
        <v>272</v>
      </c>
      <c r="B139" s="125">
        <f>B134+B135+B136</f>
        <v>-2105862</v>
      </c>
      <c r="C139" s="125">
        <f>C134+C135+C136+C137</f>
        <v>-1851760</v>
      </c>
      <c r="D139" s="125">
        <f>D134+D135+D136+D137</f>
        <v>-2302032</v>
      </c>
      <c r="E139" s="125">
        <f>E134+E135+E136+E137+E138</f>
        <v>-3207291</v>
      </c>
      <c r="F139" s="126">
        <f>F134+F135+F136+F137+F138</f>
        <v>-3734017</v>
      </c>
      <c r="G139" s="125"/>
      <c r="H139" s="125"/>
      <c r="I139" s="125"/>
      <c r="J139" s="125"/>
      <c r="K139" s="126"/>
      <c r="L139" s="22"/>
      <c r="M139" s="22"/>
      <c r="N139" s="22"/>
      <c r="O139" s="22"/>
      <c r="P139" s="22"/>
      <c r="Q139" s="22"/>
      <c r="R139" s="22"/>
      <c r="S139" s="22"/>
      <c r="T139" s="22"/>
      <c r="U139" s="22"/>
    </row>
    <row r="140" spans="1:21" ht="14" hidden="1" x14ac:dyDescent="0.3">
      <c r="A140" s="134"/>
      <c r="B140" s="22"/>
      <c r="C140" s="22"/>
      <c r="D140" s="22"/>
      <c r="E140" s="22"/>
      <c r="F140" s="24"/>
      <c r="G140" s="22"/>
      <c r="H140" s="22"/>
      <c r="I140" s="22"/>
      <c r="J140" s="22"/>
      <c r="K140" s="24"/>
      <c r="L140" s="22"/>
      <c r="M140" s="22"/>
      <c r="N140" s="22"/>
      <c r="O140" s="22"/>
      <c r="P140" s="22"/>
      <c r="Q140" s="22"/>
      <c r="R140" s="22"/>
      <c r="S140" s="22"/>
      <c r="T140" s="22"/>
      <c r="U140" s="22"/>
    </row>
    <row r="141" spans="1:21" ht="14" hidden="1" x14ac:dyDescent="0.3">
      <c r="A141" s="150" t="s">
        <v>273</v>
      </c>
      <c r="B141" s="22"/>
      <c r="C141" s="22"/>
      <c r="D141" s="22"/>
      <c r="E141" s="22"/>
      <c r="F141" s="24"/>
      <c r="G141" s="22"/>
      <c r="H141" s="22"/>
      <c r="I141" s="22"/>
      <c r="J141" s="22"/>
      <c r="K141" s="24"/>
      <c r="L141" s="22"/>
      <c r="M141" s="22"/>
      <c r="N141" s="22"/>
      <c r="O141" s="22"/>
      <c r="P141" s="22"/>
      <c r="Q141" s="22"/>
      <c r="R141" s="22"/>
      <c r="S141" s="22"/>
      <c r="T141" s="22"/>
      <c r="U141" s="22"/>
    </row>
    <row r="142" spans="1:21" ht="14" hidden="1" x14ac:dyDescent="0.3">
      <c r="A142" s="134"/>
      <c r="B142" s="22"/>
      <c r="C142" s="22"/>
      <c r="D142" s="22"/>
      <c r="E142" s="22"/>
      <c r="F142" s="24"/>
      <c r="G142" s="22"/>
      <c r="H142" s="22"/>
      <c r="I142" s="22"/>
      <c r="J142" s="22"/>
      <c r="K142" s="24"/>
      <c r="L142" s="22"/>
      <c r="M142" s="22"/>
      <c r="N142" s="22"/>
      <c r="O142" s="22"/>
      <c r="P142" s="22"/>
      <c r="Q142" s="22"/>
      <c r="R142" s="22"/>
      <c r="S142" s="22"/>
      <c r="T142" s="22"/>
      <c r="U142" s="22"/>
    </row>
    <row r="143" spans="1:21" ht="14" hidden="1" x14ac:dyDescent="0.3">
      <c r="A143" s="134" t="s">
        <v>274</v>
      </c>
      <c r="B143" s="22"/>
      <c r="C143" s="22"/>
      <c r="D143" s="22">
        <v>0</v>
      </c>
      <c r="E143" s="22">
        <v>11557332</v>
      </c>
      <c r="F143" s="24">
        <v>0</v>
      </c>
      <c r="G143" s="22"/>
      <c r="H143" s="22"/>
      <c r="I143" s="22"/>
      <c r="J143" s="22"/>
      <c r="K143" s="24"/>
      <c r="L143" s="22"/>
      <c r="M143" s="22"/>
      <c r="N143" s="22"/>
      <c r="O143" s="22"/>
      <c r="P143" s="22"/>
      <c r="Q143" s="22"/>
      <c r="R143" s="22"/>
      <c r="S143" s="22"/>
      <c r="T143" s="22"/>
      <c r="U143" s="22"/>
    </row>
    <row r="144" spans="1:21" ht="14" hidden="1" x14ac:dyDescent="0.3">
      <c r="A144" s="134" t="s">
        <v>275</v>
      </c>
      <c r="B144" s="22"/>
      <c r="C144" s="22"/>
      <c r="D144" s="22">
        <v>0</v>
      </c>
      <c r="E144" s="22">
        <v>-58308</v>
      </c>
      <c r="F144" s="24">
        <v>0</v>
      </c>
      <c r="G144" s="22"/>
      <c r="H144" s="22"/>
      <c r="I144" s="22"/>
      <c r="J144" s="22"/>
      <c r="K144" s="24"/>
      <c r="L144" s="22"/>
      <c r="M144" s="22"/>
      <c r="N144" s="22"/>
      <c r="O144" s="22"/>
      <c r="P144" s="22"/>
      <c r="Q144" s="22"/>
      <c r="R144" s="22"/>
      <c r="S144" s="22"/>
      <c r="T144" s="22"/>
      <c r="U144" s="22"/>
    </row>
    <row r="145" spans="1:21" ht="14" hidden="1" x14ac:dyDescent="0.3">
      <c r="A145" s="134" t="s">
        <v>276</v>
      </c>
      <c r="B145" s="22"/>
      <c r="C145" s="22"/>
      <c r="D145" s="22">
        <v>-569216</v>
      </c>
      <c r="E145" s="22">
        <v>-338863</v>
      </c>
      <c r="F145" s="24">
        <v>-704667</v>
      </c>
      <c r="G145" s="22"/>
      <c r="H145" s="22"/>
      <c r="I145" s="22"/>
      <c r="J145" s="22"/>
      <c r="K145" s="24"/>
      <c r="L145" s="22"/>
      <c r="M145" s="22"/>
      <c r="N145" s="22"/>
      <c r="O145" s="22"/>
      <c r="P145" s="22"/>
      <c r="Q145" s="22"/>
      <c r="R145" s="22"/>
      <c r="S145" s="22"/>
      <c r="T145" s="22"/>
      <c r="U145" s="22"/>
    </row>
    <row r="146" spans="1:21" ht="14" hidden="1" x14ac:dyDescent="0.3">
      <c r="A146" s="134" t="s">
        <v>277</v>
      </c>
      <c r="B146" s="22"/>
      <c r="C146" s="22"/>
      <c r="D146" s="22">
        <v>0</v>
      </c>
      <c r="E146" s="22">
        <v>-4000000</v>
      </c>
      <c r="F146" s="24">
        <v>0</v>
      </c>
      <c r="G146" s="22"/>
      <c r="H146" s="22"/>
      <c r="I146" s="22"/>
      <c r="J146" s="22"/>
      <c r="K146" s="24"/>
      <c r="L146" s="22"/>
      <c r="M146" s="22"/>
      <c r="N146" s="22"/>
      <c r="O146" s="22"/>
      <c r="P146" s="22"/>
      <c r="Q146" s="22"/>
      <c r="R146" s="22"/>
      <c r="S146" s="22"/>
      <c r="T146" s="22"/>
      <c r="U146" s="22"/>
    </row>
    <row r="147" spans="1:21" ht="14" hidden="1" x14ac:dyDescent="0.3">
      <c r="A147" s="134" t="s">
        <v>278</v>
      </c>
      <c r="B147" s="22"/>
      <c r="C147" s="22"/>
      <c r="D147" s="22">
        <v>4000000</v>
      </c>
      <c r="E147" s="22">
        <v>0</v>
      </c>
      <c r="F147" s="24">
        <v>0</v>
      </c>
      <c r="G147" s="22"/>
      <c r="H147" s="22"/>
      <c r="I147" s="22"/>
      <c r="J147" s="22"/>
      <c r="K147" s="24"/>
      <c r="L147" s="22"/>
      <c r="M147" s="22"/>
      <c r="N147" s="22"/>
      <c r="O147" s="22"/>
      <c r="P147" s="22"/>
      <c r="Q147" s="22"/>
      <c r="R147" s="22"/>
      <c r="S147" s="22"/>
      <c r="T147" s="22"/>
      <c r="U147" s="22"/>
    </row>
    <row r="148" spans="1:21" ht="14" hidden="1" x14ac:dyDescent="0.3">
      <c r="A148" s="134" t="s">
        <v>279</v>
      </c>
      <c r="B148" s="22"/>
      <c r="C148" s="22">
        <v>-839730</v>
      </c>
      <c r="D148" s="22">
        <v>0</v>
      </c>
      <c r="E148" s="22">
        <v>0</v>
      </c>
      <c r="F148" s="24">
        <v>0</v>
      </c>
      <c r="G148" s="22"/>
      <c r="H148" s="22"/>
      <c r="I148" s="22"/>
      <c r="J148" s="22"/>
      <c r="K148" s="24"/>
      <c r="L148" s="22"/>
      <c r="M148" s="22"/>
      <c r="N148" s="22"/>
      <c r="O148" s="22"/>
      <c r="P148" s="22"/>
      <c r="Q148" s="22"/>
      <c r="R148" s="22"/>
      <c r="S148" s="22"/>
      <c r="T148" s="22"/>
      <c r="U148" s="22"/>
    </row>
    <row r="149" spans="1:21" ht="14" hidden="1" x14ac:dyDescent="0.3">
      <c r="A149" s="134" t="s">
        <v>211</v>
      </c>
      <c r="B149" s="22">
        <v>-2505550</v>
      </c>
      <c r="C149" s="22">
        <v>-13324</v>
      </c>
      <c r="D149" s="22">
        <v>-2773</v>
      </c>
      <c r="E149" s="22">
        <v>-23038</v>
      </c>
      <c r="F149" s="24">
        <v>-148134</v>
      </c>
      <c r="G149" s="22"/>
      <c r="H149" s="22"/>
      <c r="I149" s="22"/>
      <c r="J149" s="22"/>
      <c r="K149" s="24"/>
      <c r="L149" s="22"/>
      <c r="M149" s="22"/>
      <c r="N149" s="22"/>
      <c r="O149" s="22"/>
      <c r="P149" s="22"/>
      <c r="Q149" s="22"/>
      <c r="R149" s="22"/>
      <c r="S149" s="22"/>
      <c r="T149" s="22"/>
      <c r="U149" s="22"/>
    </row>
    <row r="150" spans="1:21" ht="14" hidden="1" x14ac:dyDescent="0.3">
      <c r="A150" s="134"/>
      <c r="B150" s="125">
        <f>B143+B144+B145+B146+B147+B148+B149</f>
        <v>-2505550</v>
      </c>
      <c r="C150" s="125">
        <f>C143+C144+C145+C146+C147+C148+C149</f>
        <v>-853054</v>
      </c>
      <c r="D150" s="125">
        <f>D143+D144+D145+D146+D147+D148+D149</f>
        <v>3428011</v>
      </c>
      <c r="E150" s="125">
        <f>E143+E144+E145+E146+E147+E148+E149</f>
        <v>7137123</v>
      </c>
      <c r="F150" s="126">
        <f>F143+F144+F145+F146+F147+F148+F149</f>
        <v>-852801</v>
      </c>
      <c r="G150" s="125"/>
      <c r="H150" s="125"/>
      <c r="I150" s="125"/>
      <c r="J150" s="125"/>
      <c r="K150" s="126"/>
      <c r="L150" s="22"/>
      <c r="M150" s="22"/>
      <c r="N150" s="22"/>
      <c r="O150" s="22"/>
      <c r="P150" s="22"/>
      <c r="Q150" s="22"/>
      <c r="R150" s="22"/>
      <c r="S150" s="22"/>
      <c r="T150" s="22"/>
      <c r="U150" s="22"/>
    </row>
    <row r="151" spans="1:21" ht="14" hidden="1" x14ac:dyDescent="0.3">
      <c r="A151" s="150"/>
      <c r="B151" s="22"/>
      <c r="C151" s="22"/>
      <c r="D151" s="22"/>
      <c r="E151" s="22"/>
      <c r="F151" s="24"/>
      <c r="G151" s="22"/>
      <c r="H151" s="22"/>
      <c r="I151" s="22"/>
      <c r="J151" s="22"/>
      <c r="K151" s="24"/>
      <c r="L151" s="22"/>
      <c r="M151" s="22"/>
      <c r="N151" s="22"/>
      <c r="O151" s="22"/>
      <c r="P151" s="22"/>
      <c r="Q151" s="22"/>
      <c r="R151" s="22"/>
      <c r="S151" s="22"/>
      <c r="T151" s="22"/>
      <c r="U151" s="22"/>
    </row>
    <row r="152" spans="1:21" ht="14" hidden="1" x14ac:dyDescent="0.3">
      <c r="A152" s="150" t="s">
        <v>280</v>
      </c>
      <c r="B152" s="149">
        <f>B149+B139+B130</f>
        <v>-8276429</v>
      </c>
      <c r="C152" s="149">
        <f>C150+C139+C130</f>
        <v>244768</v>
      </c>
      <c r="D152" s="149">
        <f>D150+D139+D130</f>
        <v>2227163</v>
      </c>
      <c r="E152" s="149">
        <f>E150+E139+E130</f>
        <v>8581051</v>
      </c>
      <c r="F152" s="155">
        <f>F150+F139+F130</f>
        <v>5827680</v>
      </c>
      <c r="G152" s="149"/>
      <c r="H152" s="149"/>
      <c r="I152" s="149"/>
      <c r="J152" s="149"/>
      <c r="K152" s="155"/>
      <c r="L152" s="22"/>
      <c r="M152" s="22"/>
      <c r="N152" s="22"/>
      <c r="O152" s="22"/>
      <c r="P152" s="22"/>
      <c r="Q152" s="22"/>
      <c r="R152" s="22"/>
      <c r="S152" s="22"/>
      <c r="T152" s="22"/>
      <c r="U152" s="22"/>
    </row>
    <row r="153" spans="1:21" ht="14" hidden="1" x14ac:dyDescent="0.3">
      <c r="A153" s="134"/>
      <c r="B153" s="22"/>
      <c r="C153" s="22"/>
      <c r="D153" s="22"/>
      <c r="E153" s="22"/>
      <c r="F153" s="24"/>
      <c r="G153" s="22"/>
      <c r="H153" s="22"/>
      <c r="I153" s="22"/>
      <c r="J153" s="22"/>
      <c r="K153" s="24"/>
      <c r="L153" s="22"/>
      <c r="M153" s="22"/>
      <c r="N153" s="22"/>
      <c r="O153" s="22"/>
      <c r="P153" s="22"/>
      <c r="Q153" s="22"/>
      <c r="R153" s="22"/>
      <c r="S153" s="22"/>
      <c r="T153" s="22"/>
      <c r="U153" s="22"/>
    </row>
    <row r="154" spans="1:21" ht="14" hidden="1" x14ac:dyDescent="0.3">
      <c r="A154" s="134" t="s">
        <v>281</v>
      </c>
      <c r="B154" s="22">
        <v>2196864</v>
      </c>
      <c r="C154" s="22">
        <v>-6079565</v>
      </c>
      <c r="D154" s="22">
        <v>-5834797</v>
      </c>
      <c r="E154" s="22">
        <v>-3607634</v>
      </c>
      <c r="F154" s="24">
        <v>4973417</v>
      </c>
      <c r="G154" s="22"/>
      <c r="H154" s="22"/>
      <c r="I154" s="22"/>
      <c r="J154" s="22"/>
      <c r="K154" s="24"/>
      <c r="L154" s="22"/>
      <c r="M154" s="22"/>
      <c r="N154" s="22"/>
      <c r="O154" s="22"/>
      <c r="P154" s="22"/>
      <c r="Q154" s="22"/>
      <c r="R154" s="22"/>
      <c r="S154" s="22"/>
      <c r="T154" s="22"/>
      <c r="U154" s="22"/>
    </row>
    <row r="155" spans="1:21" ht="14" hidden="1" x14ac:dyDescent="0.3">
      <c r="A155" s="134"/>
      <c r="B155" s="22"/>
      <c r="C155" s="22"/>
      <c r="D155" s="22"/>
      <c r="E155" s="22"/>
      <c r="F155" s="24"/>
      <c r="G155" s="22"/>
      <c r="H155" s="22"/>
      <c r="I155" s="22"/>
      <c r="J155" s="22"/>
      <c r="K155" s="24"/>
      <c r="L155" s="22"/>
      <c r="M155" s="22"/>
      <c r="N155" s="22"/>
      <c r="O155" s="22"/>
      <c r="P155" s="22"/>
      <c r="Q155" s="22"/>
      <c r="R155" s="22"/>
      <c r="S155" s="22"/>
      <c r="T155" s="22"/>
      <c r="U155" s="22"/>
    </row>
    <row r="156" spans="1:21" ht="14" hidden="1" x14ac:dyDescent="0.3">
      <c r="A156" s="115" t="s">
        <v>282</v>
      </c>
      <c r="B156" s="125">
        <f>B152+B154</f>
        <v>-6079565</v>
      </c>
      <c r="C156" s="125">
        <f>C152+C154</f>
        <v>-5834797</v>
      </c>
      <c r="D156" s="125">
        <f>D152+D154</f>
        <v>-3607634</v>
      </c>
      <c r="E156" s="125">
        <f>E152+E154</f>
        <v>4973417</v>
      </c>
      <c r="F156" s="126">
        <f>F152+F154</f>
        <v>10801097</v>
      </c>
      <c r="G156" s="125"/>
      <c r="H156" s="125"/>
      <c r="I156" s="125"/>
      <c r="J156" s="125"/>
      <c r="K156" s="126"/>
      <c r="L156" s="22"/>
      <c r="M156" s="22"/>
      <c r="N156" s="22"/>
      <c r="O156" s="22"/>
      <c r="P156" s="22"/>
      <c r="Q156" s="22"/>
      <c r="R156" s="22"/>
      <c r="S156" s="22"/>
      <c r="T156" s="22"/>
      <c r="U156" s="22"/>
    </row>
    <row r="157" spans="1:21" ht="14" hidden="1" x14ac:dyDescent="0.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</row>
    <row r="158" spans="1:21" ht="14" x14ac:dyDescent="0.3">
      <c r="A158" s="76"/>
      <c r="B158" s="85"/>
      <c r="C158" s="85"/>
      <c r="D158" s="85"/>
      <c r="E158" s="85"/>
      <c r="F158" s="85"/>
      <c r="G158" s="175"/>
      <c r="H158" s="175"/>
      <c r="I158" s="175"/>
      <c r="J158" s="175"/>
      <c r="K158" s="175"/>
      <c r="L158" s="22"/>
      <c r="M158" s="22"/>
      <c r="N158" s="22"/>
      <c r="O158" s="22"/>
      <c r="P158" s="22"/>
      <c r="Q158" s="22"/>
      <c r="R158" s="22"/>
      <c r="S158" s="22"/>
      <c r="T158" s="22"/>
      <c r="U158" s="22"/>
    </row>
    <row r="159" spans="1:21" ht="14" x14ac:dyDescent="0.3">
      <c r="A159" s="76" t="s">
        <v>283</v>
      </c>
      <c r="B159" s="85"/>
      <c r="C159" s="85"/>
      <c r="D159" s="85"/>
      <c r="E159" s="85"/>
      <c r="F159" s="86"/>
      <c r="G159" s="85"/>
      <c r="H159" s="85"/>
      <c r="I159" s="85"/>
      <c r="J159" s="85"/>
      <c r="K159" s="86"/>
      <c r="L159" s="22"/>
      <c r="M159" s="22"/>
      <c r="N159" s="22"/>
      <c r="O159" s="22"/>
      <c r="P159" s="22"/>
      <c r="Q159" s="22"/>
      <c r="R159" s="22"/>
      <c r="S159" s="22"/>
      <c r="T159" s="22"/>
      <c r="U159" s="22"/>
    </row>
    <row r="160" spans="1:21" ht="14" x14ac:dyDescent="0.3">
      <c r="A160" s="22"/>
      <c r="B160" s="22"/>
      <c r="C160" s="22"/>
      <c r="D160" s="22"/>
      <c r="E160" s="22"/>
      <c r="F160" s="24"/>
      <c r="G160" s="1"/>
      <c r="H160" s="1"/>
      <c r="I160" s="1"/>
      <c r="J160" s="1"/>
      <c r="K160" s="69"/>
      <c r="L160" s="22"/>
      <c r="M160" s="22"/>
      <c r="N160" s="22"/>
      <c r="O160" s="22"/>
      <c r="P160" s="22"/>
      <c r="Q160" s="22"/>
      <c r="R160" s="22"/>
      <c r="S160" s="22"/>
      <c r="T160" s="22"/>
      <c r="U160" s="22"/>
    </row>
    <row r="161" spans="1:21" ht="14" x14ac:dyDescent="0.3">
      <c r="A161" s="22" t="s">
        <v>284</v>
      </c>
      <c r="B161" s="22"/>
      <c r="C161" s="22"/>
      <c r="D161" s="22"/>
      <c r="E161" s="22"/>
      <c r="F161" s="24"/>
      <c r="G161" s="22">
        <f ca="1">G17-G15</f>
        <v>5009838.6230292581</v>
      </c>
      <c r="H161" s="22">
        <f ca="1">H17-H15</f>
        <v>7519841.2434664499</v>
      </c>
      <c r="I161" s="22">
        <f ca="1">I17-I15</f>
        <v>5739479.421813325</v>
      </c>
      <c r="J161" s="22">
        <f ca="1">J17-J15</f>
        <v>5466883.5725495592</v>
      </c>
      <c r="K161" s="24">
        <f ca="1">K17-K15</f>
        <v>4962035.1397239417</v>
      </c>
      <c r="L161" s="22"/>
      <c r="M161" s="22"/>
      <c r="N161" s="22"/>
      <c r="O161" s="22"/>
      <c r="P161" s="22"/>
      <c r="Q161" s="22"/>
      <c r="R161" s="22"/>
      <c r="S161" s="22"/>
      <c r="T161" s="22"/>
      <c r="U161" s="22"/>
    </row>
    <row r="162" spans="1:21" ht="14" x14ac:dyDescent="0.3">
      <c r="A162" s="22" t="s">
        <v>285</v>
      </c>
      <c r="B162" s="22"/>
      <c r="C162" s="22"/>
      <c r="D162" s="22"/>
      <c r="E162" s="22"/>
      <c r="F162" s="24"/>
      <c r="G162" s="22">
        <f>Assumptions!G195</f>
        <v>1872339.2414327562</v>
      </c>
      <c r="H162" s="22">
        <f>Assumptions!H195</f>
        <v>2125720.584652835</v>
      </c>
      <c r="I162" s="22">
        <f>Assumptions!I195</f>
        <v>2413391.7102324842</v>
      </c>
      <c r="J162" s="22">
        <f>Assumptions!J195</f>
        <v>2739993.0118144401</v>
      </c>
      <c r="K162" s="24">
        <f>Assumptions!K195</f>
        <v>3110792.861747568</v>
      </c>
      <c r="L162" s="22"/>
      <c r="M162" s="22"/>
      <c r="N162" s="22"/>
      <c r="O162" s="22"/>
      <c r="P162" s="22"/>
      <c r="Q162" s="22"/>
      <c r="R162" s="22"/>
      <c r="S162" s="22"/>
      <c r="T162" s="22"/>
      <c r="U162" s="22"/>
    </row>
    <row r="163" spans="1:21" ht="14" x14ac:dyDescent="0.3">
      <c r="A163" s="22" t="s">
        <v>286</v>
      </c>
      <c r="B163" s="22"/>
      <c r="C163" s="22"/>
      <c r="D163" s="22"/>
      <c r="E163" s="22"/>
      <c r="F163" s="24"/>
      <c r="G163" s="22">
        <f>Assumptions!G204</f>
        <v>2736.3021249407216</v>
      </c>
      <c r="H163" s="22">
        <f>Assumptions!H204</f>
        <v>2740.8042498814425</v>
      </c>
      <c r="I163" s="22">
        <f>Assumptions!I204</f>
        <v>2745.3063748221634</v>
      </c>
      <c r="J163" s="22">
        <f>Assumptions!J204</f>
        <v>2749.8084997628848</v>
      </c>
      <c r="K163" s="24">
        <f>Assumptions!K204</f>
        <v>2754.3106247036058</v>
      </c>
      <c r="L163" s="22"/>
      <c r="M163" s="22"/>
      <c r="N163" s="22"/>
      <c r="O163" s="22"/>
      <c r="P163" s="22"/>
      <c r="Q163" s="22"/>
      <c r="R163" s="22"/>
      <c r="S163" s="22"/>
      <c r="T163" s="22"/>
      <c r="U163" s="22"/>
    </row>
    <row r="164" spans="1:21" ht="14" x14ac:dyDescent="0.3">
      <c r="A164" s="22" t="s">
        <v>287</v>
      </c>
      <c r="B164" s="22"/>
      <c r="C164" s="22"/>
      <c r="D164" s="22"/>
      <c r="E164" s="22"/>
      <c r="F164" s="24"/>
      <c r="G164" s="78">
        <f>Assumptions!G123+Assumptions!G88</f>
        <v>789637</v>
      </c>
      <c r="H164" s="78">
        <f>Assumptions!H123+Assumptions!H88</f>
        <v>789637</v>
      </c>
      <c r="I164" s="78">
        <f>Assumptions!I123+Assumptions!I88</f>
        <v>789637</v>
      </c>
      <c r="J164" s="78">
        <f>Assumptions!J123+Assumptions!J88</f>
        <v>789637</v>
      </c>
      <c r="K164" s="79">
        <f>Assumptions!K123+Assumptions!K88</f>
        <v>789637</v>
      </c>
      <c r="L164" s="22"/>
      <c r="M164" s="22"/>
      <c r="N164" s="22"/>
      <c r="O164" s="22"/>
      <c r="P164" s="22"/>
      <c r="Q164" s="22"/>
      <c r="R164" s="22"/>
      <c r="S164" s="22"/>
      <c r="T164" s="22"/>
      <c r="U164" s="22"/>
    </row>
    <row r="165" spans="1:21" ht="14" x14ac:dyDescent="0.3">
      <c r="A165" s="22" t="s">
        <v>288</v>
      </c>
      <c r="B165" s="22"/>
      <c r="C165" s="22"/>
      <c r="D165" s="22"/>
      <c r="E165" s="22"/>
      <c r="F165" s="24"/>
      <c r="G165" s="22"/>
      <c r="H165" s="22"/>
      <c r="I165" s="22"/>
      <c r="J165" s="22"/>
      <c r="K165" s="24"/>
      <c r="L165" s="22"/>
      <c r="M165" s="22"/>
      <c r="N165" s="22"/>
      <c r="O165" s="22"/>
      <c r="P165" s="22"/>
      <c r="Q165" s="22"/>
      <c r="R165" s="22"/>
      <c r="S165" s="22"/>
      <c r="T165" s="22"/>
      <c r="U165" s="22"/>
    </row>
    <row r="166" spans="1:21" ht="14" x14ac:dyDescent="0.3">
      <c r="A166" s="22" t="s">
        <v>289</v>
      </c>
      <c r="B166" s="22"/>
      <c r="C166" s="22"/>
      <c r="D166" s="22"/>
      <c r="E166" s="22"/>
      <c r="F166" s="24"/>
      <c r="G166" s="22">
        <f>(SUM(G74,G75,G76,G77,G78)-SUM(F74,F75,F76,F77,F78))*-1</f>
        <v>-65566059.471624807</v>
      </c>
      <c r="H166" s="22">
        <f>(SUM(H74,H75,H76,H77,H78)-SUM(G74,G75,G76,G77,G78))*-1</f>
        <v>-25433425.8809468</v>
      </c>
      <c r="I166" s="22">
        <f>(SUM(I74,I75,I76,I77,I78)-SUM(H74,H75,H76,H77,H78))*-1</f>
        <v>-33170703.772325784</v>
      </c>
      <c r="J166" s="22">
        <f>(SUM(J74,J75,J76,J77,J78)-SUM(I74,I75,I76,I77,I78))*-1</f>
        <v>-42544481.228140622</v>
      </c>
      <c r="K166" s="24">
        <f>(SUM(K74,K75,K76,K77,K78)-SUM(J74,J75,J76,J77,J78))*-1</f>
        <v>-52320661.843774974</v>
      </c>
      <c r="L166" s="22"/>
      <c r="M166" s="22"/>
      <c r="N166" s="22"/>
      <c r="O166" s="22"/>
      <c r="P166" s="22"/>
      <c r="Q166" s="22"/>
      <c r="R166" s="22"/>
      <c r="S166" s="22"/>
      <c r="T166" s="22"/>
      <c r="U166" s="22"/>
    </row>
    <row r="167" spans="1:21" ht="14" x14ac:dyDescent="0.3">
      <c r="A167" s="22" t="s">
        <v>290</v>
      </c>
      <c r="B167" s="22"/>
      <c r="C167" s="22"/>
      <c r="D167" s="22"/>
      <c r="E167" s="22"/>
      <c r="F167" s="24"/>
      <c r="G167" s="22">
        <f>(SUM(G105,G106,G107,G108,G109,G111)-SUM(F105,F106,F107,F108,F109,F111))</f>
        <v>87769709.427032828</v>
      </c>
      <c r="H167" s="22">
        <f>(SUM(H105,H106,H107,H108,H109,H111)-SUM(G105,G106,G107,G108,G109,G111))</f>
        <v>33443823.242400229</v>
      </c>
      <c r="I167" s="22">
        <f>(SUM(I105,I106,I107,I108,I109,I111)-SUM(H105,H106,H107,H108,H109,H111))</f>
        <v>44068709.071218669</v>
      </c>
      <c r="J167" s="22">
        <f>(SUM(J105,J106,J107,J108,J109,J111)-SUM(I105,I106,I107,I108,I109,I111))</f>
        <v>56520674.844500661</v>
      </c>
      <c r="K167" s="24">
        <f>(SUM(K105,K106,K107,K108,K109,K111)-SUM(J105,J106,J107,J108,J109,J111))</f>
        <v>69528565.580848098</v>
      </c>
      <c r="L167" s="22"/>
      <c r="M167" s="22"/>
      <c r="N167" s="22"/>
      <c r="O167" s="22"/>
      <c r="P167" s="22"/>
      <c r="Q167" s="22"/>
      <c r="R167" s="22"/>
      <c r="S167" s="22"/>
      <c r="T167" s="22"/>
      <c r="U167" s="22"/>
    </row>
    <row r="168" spans="1:21" ht="14" x14ac:dyDescent="0.3">
      <c r="A168" s="22"/>
      <c r="B168" s="22"/>
      <c r="C168" s="22"/>
      <c r="D168" s="22"/>
      <c r="E168" s="22"/>
      <c r="F168" s="24"/>
      <c r="G168" s="22"/>
      <c r="H168" s="22"/>
      <c r="I168" s="22"/>
      <c r="J168" s="22"/>
      <c r="K168" s="24"/>
      <c r="L168" s="22"/>
      <c r="M168" s="22"/>
      <c r="N168" s="22"/>
      <c r="O168" s="22"/>
      <c r="P168" s="22"/>
      <c r="Q168" s="22"/>
      <c r="R168" s="22"/>
      <c r="S168" s="22"/>
      <c r="T168" s="22"/>
      <c r="U168" s="22"/>
    </row>
    <row r="169" spans="1:21" ht="14" x14ac:dyDescent="0.3">
      <c r="A169" s="22" t="s">
        <v>291</v>
      </c>
      <c r="B169" s="22"/>
      <c r="C169" s="22"/>
      <c r="D169" s="22"/>
      <c r="E169" s="22"/>
      <c r="F169" s="24"/>
      <c r="G169" s="22">
        <f>G15</f>
        <v>-825559.5</v>
      </c>
      <c r="H169" s="22">
        <f>H15</f>
        <v>-825559.5</v>
      </c>
      <c r="I169" s="22">
        <f>I15</f>
        <v>-825559.5</v>
      </c>
      <c r="J169" s="22">
        <f>J15</f>
        <v>-825559.5</v>
      </c>
      <c r="K169" s="24">
        <f>K15</f>
        <v>-825559.5</v>
      </c>
      <c r="L169" s="22"/>
      <c r="M169" s="22"/>
      <c r="N169" s="22"/>
      <c r="O169" s="22"/>
      <c r="P169" s="22"/>
      <c r="Q169" s="22"/>
      <c r="R169" s="22"/>
      <c r="S169" s="22"/>
      <c r="T169" s="22"/>
      <c r="U169" s="22"/>
    </row>
    <row r="170" spans="1:21" ht="14" x14ac:dyDescent="0.3">
      <c r="A170" s="28" t="s">
        <v>292</v>
      </c>
      <c r="B170" s="28"/>
      <c r="C170" s="28"/>
      <c r="D170" s="28"/>
      <c r="E170" s="28"/>
      <c r="F170" s="29"/>
      <c r="G170" s="28">
        <f ca="1">G18</f>
        <v>-6380197.4496936277</v>
      </c>
      <c r="H170" s="28">
        <f ca="1">H18</f>
        <v>-7459896.2637570379</v>
      </c>
      <c r="I170" s="28">
        <f ca="1">I18</f>
        <v>-8808199.0925565604</v>
      </c>
      <c r="J170" s="28">
        <f ca="1">J18</f>
        <v>-10774058.944829844</v>
      </c>
      <c r="K170" s="29">
        <f ca="1">K18</f>
        <v>-13175864.675658407</v>
      </c>
      <c r="L170" s="22"/>
      <c r="M170" s="22"/>
      <c r="N170" s="22"/>
      <c r="O170" s="22"/>
      <c r="P170" s="22"/>
      <c r="Q170" s="22"/>
      <c r="R170" s="22"/>
      <c r="S170" s="22"/>
      <c r="T170" s="22"/>
      <c r="U170" s="22"/>
    </row>
    <row r="171" spans="1:21" ht="14" x14ac:dyDescent="0.3">
      <c r="A171" s="149" t="s">
        <v>293</v>
      </c>
      <c r="B171" s="149">
        <v>-3665017</v>
      </c>
      <c r="C171" s="149">
        <v>2949582</v>
      </c>
      <c r="D171" s="149">
        <v>1101184</v>
      </c>
      <c r="E171" s="149">
        <v>4651219</v>
      </c>
      <c r="F171" s="155">
        <v>10414498</v>
      </c>
      <c r="G171" s="149">
        <f ca="1">SUM(G161:G164,G166:G167,G169:G170)</f>
        <v>22672444.172301352</v>
      </c>
      <c r="H171" s="149">
        <f ca="1">SUM(H161:H164,H166:H167,H169:H170)</f>
        <v>10162881.230065558</v>
      </c>
      <c r="I171" s="149">
        <f ca="1">SUM(I161:I164,I166:I167,I169:I170)</f>
        <v>10209500.144756956</v>
      </c>
      <c r="J171" s="149">
        <f ca="1">SUM(J161:J164,J166:J167,J169:J170)</f>
        <v>11375838.564393956</v>
      </c>
      <c r="K171" s="155">
        <f ca="1">SUM(K161:K164,K166:K167,K169:K170)</f>
        <v>12071698.873510933</v>
      </c>
      <c r="L171" s="22"/>
      <c r="M171" s="22"/>
      <c r="N171" s="22"/>
      <c r="O171" s="22"/>
      <c r="P171" s="22"/>
      <c r="Q171" s="22"/>
      <c r="R171" s="22"/>
      <c r="S171" s="22"/>
      <c r="T171" s="22"/>
      <c r="U171" s="22"/>
    </row>
    <row r="172" spans="1:21" ht="14" x14ac:dyDescent="0.3">
      <c r="A172" s="22"/>
      <c r="B172" s="22"/>
      <c r="C172" s="22"/>
      <c r="D172" s="22"/>
      <c r="E172" s="22"/>
      <c r="F172" s="24"/>
      <c r="G172" s="22"/>
      <c r="H172" s="22"/>
      <c r="I172" s="22"/>
      <c r="J172" s="22"/>
      <c r="K172" s="24"/>
      <c r="L172" s="22"/>
      <c r="M172" s="22"/>
      <c r="N172" s="22"/>
      <c r="O172" s="22"/>
      <c r="P172" s="22"/>
      <c r="Q172" s="22"/>
      <c r="R172" s="22"/>
      <c r="S172" s="22"/>
      <c r="T172" s="22"/>
      <c r="U172" s="22"/>
    </row>
    <row r="173" spans="1:21" ht="14" x14ac:dyDescent="0.3">
      <c r="A173" s="22" t="s">
        <v>294</v>
      </c>
      <c r="B173" s="22"/>
      <c r="C173" s="22"/>
      <c r="D173" s="22"/>
      <c r="E173" s="22"/>
      <c r="F173" s="24"/>
      <c r="G173" s="22">
        <f>-(G33-F33+Assumptions!G195)</f>
        <v>-5097504.2698462754</v>
      </c>
      <c r="H173" s="22">
        <f>-(H33-G33+Assumptions!H195)</f>
        <v>-5345042.0806772355</v>
      </c>
      <c r="I173" s="22">
        <f>-(I33-H33+Assumptions!I195)</f>
        <v>-6068379.9844074687</v>
      </c>
      <c r="J173" s="22">
        <f>-(J33-I33+Assumptions!J195)</f>
        <v>-6889606.3079247829</v>
      </c>
      <c r="K173" s="24">
        <f>-(K33-J33+Assumptions!K195)</f>
        <v>-7821968.1694556382</v>
      </c>
      <c r="L173" s="22"/>
      <c r="M173" s="22"/>
      <c r="N173" s="22"/>
      <c r="O173" s="22"/>
      <c r="P173" s="22"/>
      <c r="Q173" s="22"/>
      <c r="R173" s="22"/>
      <c r="S173" s="22"/>
      <c r="T173" s="22"/>
      <c r="U173" s="22"/>
    </row>
    <row r="174" spans="1:21" ht="14" x14ac:dyDescent="0.3">
      <c r="A174" s="22" t="s">
        <v>295</v>
      </c>
      <c r="B174" s="22"/>
      <c r="C174" s="22"/>
      <c r="D174" s="22"/>
      <c r="E174" s="22"/>
      <c r="F174" s="24"/>
      <c r="G174" s="22">
        <f>-(G52-F52+G60)</f>
        <v>-3177.9731638719572</v>
      </c>
      <c r="H174" s="22">
        <f>-(H52-G52+H60)</f>
        <v>-3177.9731638719345</v>
      </c>
      <c r="I174" s="22">
        <f>-(I52-H52+I60)</f>
        <v>-3177.9731638719118</v>
      </c>
      <c r="J174" s="22">
        <f>-(J52-I52+J60)</f>
        <v>-3177.9731638721223</v>
      </c>
      <c r="K174" s="24">
        <f>-(K52-J52+K60)</f>
        <v>-3177.9731638720996</v>
      </c>
      <c r="L174" s="22"/>
      <c r="M174" s="22"/>
      <c r="N174" s="22"/>
      <c r="O174" s="22"/>
      <c r="P174" s="22"/>
      <c r="Q174" s="22"/>
      <c r="R174" s="22"/>
      <c r="S174" s="22"/>
      <c r="T174" s="22"/>
      <c r="U174" s="22"/>
    </row>
    <row r="175" spans="1:21" ht="14" x14ac:dyDescent="0.3">
      <c r="A175" s="22" t="s">
        <v>296</v>
      </c>
      <c r="B175" s="22"/>
      <c r="C175" s="22"/>
      <c r="D175" s="22"/>
      <c r="E175" s="22"/>
      <c r="F175" s="24"/>
      <c r="G175" s="22">
        <f>SUM(G68:G71,G51)-SUM(F68:F71,F51)+Assumptions!G123+Assumptions!G88</f>
        <v>0</v>
      </c>
      <c r="H175" s="22">
        <f>SUM(H68:H71,H51)-SUM(G68:G71,G51)+Assumptions!H123+Assumptions!H88</f>
        <v>0</v>
      </c>
      <c r="I175" s="22">
        <f>SUM(I68:I71,I51)-SUM(H68:H71,H51)+Assumptions!I123+Assumptions!I88</f>
        <v>0</v>
      </c>
      <c r="J175" s="22">
        <f>SUM(J68:J71,J51)-SUM(I68:I71,I51)+Assumptions!J123+Assumptions!J88</f>
        <v>0</v>
      </c>
      <c r="K175" s="24">
        <f>SUM(K68:K71,K51)-SUM(J68:J71,J51)+Assumptions!K123+Assumptions!K88</f>
        <v>0</v>
      </c>
      <c r="L175" s="22"/>
      <c r="M175" s="22"/>
      <c r="N175" s="22"/>
      <c r="O175" s="22"/>
      <c r="P175" s="22"/>
      <c r="Q175" s="22"/>
      <c r="R175" s="22"/>
      <c r="S175" s="22"/>
      <c r="T175" s="22"/>
      <c r="U175" s="22"/>
    </row>
    <row r="176" spans="1:21" ht="14" x14ac:dyDescent="0.3">
      <c r="A176" s="149" t="s">
        <v>297</v>
      </c>
      <c r="B176" s="76">
        <v>-2105862</v>
      </c>
      <c r="C176" s="76">
        <v>-1851760</v>
      </c>
      <c r="D176" s="76">
        <v>-2302032</v>
      </c>
      <c r="E176" s="76">
        <v>-3207291</v>
      </c>
      <c r="F176" s="77">
        <v>-3734017</v>
      </c>
      <c r="G176" s="76">
        <f>SUM(G173:G175)</f>
        <v>-5100682.2430101475</v>
      </c>
      <c r="H176" s="76">
        <f>SUM(H173:H175)</f>
        <v>-5348220.0538411075</v>
      </c>
      <c r="I176" s="76">
        <f>SUM(I173:I175)</f>
        <v>-6071557.9575713407</v>
      </c>
      <c r="J176" s="76">
        <f>SUM(J173:J175)</f>
        <v>-6892784.2810886549</v>
      </c>
      <c r="K176" s="77">
        <f>SUM(K173:K175)</f>
        <v>-7825146.1426195102</v>
      </c>
      <c r="L176" s="22"/>
      <c r="M176" s="22"/>
      <c r="N176" s="22"/>
      <c r="O176" s="22"/>
      <c r="P176" s="22"/>
      <c r="Q176" s="22"/>
      <c r="R176" s="22"/>
      <c r="S176" s="22"/>
      <c r="T176" s="22"/>
      <c r="U176" s="22"/>
    </row>
    <row r="177" spans="1:21" ht="14" x14ac:dyDescent="0.3">
      <c r="A177" s="22"/>
      <c r="B177" s="22"/>
      <c r="C177" s="22"/>
      <c r="D177" s="22"/>
      <c r="E177" s="22"/>
      <c r="F177" s="24"/>
      <c r="G177" s="22"/>
      <c r="H177" s="22"/>
      <c r="I177" s="22"/>
      <c r="J177" s="22"/>
      <c r="K177" s="24"/>
      <c r="L177" s="22"/>
      <c r="M177" s="22"/>
      <c r="N177" s="22"/>
      <c r="O177" s="22"/>
      <c r="P177" s="22"/>
      <c r="Q177" s="22"/>
      <c r="R177" s="22"/>
      <c r="S177" s="22"/>
      <c r="T177" s="22"/>
      <c r="U177" s="22"/>
    </row>
    <row r="178" spans="1:21" ht="14" x14ac:dyDescent="0.3">
      <c r="A178" s="22"/>
      <c r="B178" s="22"/>
      <c r="C178" s="22"/>
      <c r="D178" s="22"/>
      <c r="E178" s="22"/>
      <c r="F178" s="24"/>
      <c r="G178" s="22"/>
      <c r="H178" s="22"/>
      <c r="I178" s="22"/>
      <c r="J178" s="22"/>
      <c r="K178" s="24"/>
      <c r="L178" s="22"/>
      <c r="M178" s="22"/>
      <c r="N178" s="22"/>
      <c r="O178" s="22"/>
      <c r="P178" s="22"/>
      <c r="Q178" s="22"/>
      <c r="R178" s="22"/>
      <c r="S178" s="22"/>
      <c r="T178" s="22"/>
      <c r="U178" s="22"/>
    </row>
    <row r="179" spans="1:21" ht="14" x14ac:dyDescent="0.3">
      <c r="A179" s="22" t="s">
        <v>298</v>
      </c>
      <c r="B179" s="22"/>
      <c r="C179" s="22"/>
      <c r="D179" s="22"/>
      <c r="E179" s="22"/>
      <c r="F179" s="24"/>
      <c r="G179" s="22">
        <f>G86-F86</f>
        <v>0</v>
      </c>
      <c r="H179" s="22">
        <f>H86-G86</f>
        <v>0</v>
      </c>
      <c r="I179" s="22">
        <f>I86-H86</f>
        <v>0</v>
      </c>
      <c r="J179" s="22">
        <f>J86-I86</f>
        <v>0</v>
      </c>
      <c r="K179" s="24">
        <f>K86-J86</f>
        <v>0</v>
      </c>
      <c r="L179" s="22"/>
      <c r="M179" s="22"/>
      <c r="N179" s="22"/>
      <c r="O179" s="22"/>
      <c r="P179" s="22"/>
      <c r="Q179" s="22"/>
      <c r="R179" s="22"/>
      <c r="S179" s="22"/>
      <c r="T179" s="22"/>
      <c r="U179" s="22"/>
    </row>
    <row r="180" spans="1:21" ht="14" x14ac:dyDescent="0.3">
      <c r="A180" s="22" t="s">
        <v>299</v>
      </c>
      <c r="B180" s="22"/>
      <c r="C180" s="22"/>
      <c r="D180" s="22"/>
      <c r="E180" s="22"/>
      <c r="F180" s="24"/>
      <c r="G180" s="22">
        <f>-G24</f>
        <v>-642073.98600000003</v>
      </c>
      <c r="H180" s="22">
        <f>-H24</f>
        <v>-642073.98600000003</v>
      </c>
      <c r="I180" s="22">
        <f>-I24</f>
        <v>-642073.98600000003</v>
      </c>
      <c r="J180" s="22">
        <f>-J24</f>
        <v>-642073.98600000003</v>
      </c>
      <c r="K180" s="24">
        <f>-K24</f>
        <v>-642073.98600000003</v>
      </c>
      <c r="L180" s="22"/>
      <c r="M180" s="22"/>
      <c r="N180" s="22"/>
      <c r="O180" s="22"/>
      <c r="P180" s="22"/>
      <c r="Q180" s="22"/>
      <c r="R180" s="22"/>
      <c r="S180" s="22"/>
      <c r="T180" s="22"/>
      <c r="U180" s="22"/>
    </row>
    <row r="181" spans="1:21" ht="14" x14ac:dyDescent="0.3">
      <c r="A181" s="22" t="s">
        <v>300</v>
      </c>
      <c r="B181" s="22"/>
      <c r="C181" s="22"/>
      <c r="D181" s="22"/>
      <c r="E181" s="22"/>
      <c r="F181" s="24"/>
      <c r="G181" s="22">
        <f>SUM(G98:G102,G110,G112,G113)-SUM(F98:F102,F110,F112,F113)</f>
        <v>0</v>
      </c>
      <c r="H181" s="22">
        <f>SUM(H98:H102,H110,H112,H113)-SUM(G98:G102,G110,G112,G113)</f>
        <v>0</v>
      </c>
      <c r="I181" s="22">
        <f>SUM(I98:I102,I110,I112,I113)-SUM(H98:H102,H110,H112,H113)</f>
        <v>0</v>
      </c>
      <c r="J181" s="22">
        <f>SUM(J98:J102,J110,J112,J113)-SUM(I98:I102,I110,I112,I113)</f>
        <v>0</v>
      </c>
      <c r="K181" s="24">
        <f>SUM(K98:K102,K110,K112,K113)-SUM(J98:J102,J110,J112,J113)</f>
        <v>0</v>
      </c>
      <c r="L181" s="22"/>
      <c r="M181" s="22"/>
      <c r="N181" s="22"/>
      <c r="O181" s="22"/>
      <c r="P181" s="22"/>
      <c r="Q181" s="22"/>
      <c r="R181" s="22"/>
      <c r="S181" s="22"/>
      <c r="T181" s="22"/>
      <c r="U181" s="22"/>
    </row>
    <row r="182" spans="1:21" ht="14" x14ac:dyDescent="0.3">
      <c r="A182" s="149" t="s">
        <v>301</v>
      </c>
      <c r="B182" s="76">
        <v>-2505550</v>
      </c>
      <c r="C182" s="76">
        <v>-853054</v>
      </c>
      <c r="D182" s="76">
        <v>3428011</v>
      </c>
      <c r="E182" s="76">
        <v>7137123</v>
      </c>
      <c r="F182" s="77">
        <v>-852801</v>
      </c>
      <c r="G182" s="76">
        <f>SUM(G179:G181)</f>
        <v>-642073.98600000003</v>
      </c>
      <c r="H182" s="76">
        <f>SUM(H179:H181)</f>
        <v>-642073.98600000003</v>
      </c>
      <c r="I182" s="76">
        <f>SUM(I179:I181)</f>
        <v>-642073.98600000003</v>
      </c>
      <c r="J182" s="76">
        <f>SUM(J179:J181)</f>
        <v>-642073.98600000003</v>
      </c>
      <c r="K182" s="77">
        <f>SUM(K179:K181)</f>
        <v>-642073.98600000003</v>
      </c>
      <c r="L182" s="22"/>
      <c r="M182" s="22"/>
      <c r="N182" s="22"/>
      <c r="O182" s="22"/>
      <c r="P182" s="22"/>
      <c r="Q182" s="22"/>
      <c r="R182" s="22"/>
      <c r="S182" s="22"/>
      <c r="T182" s="22"/>
      <c r="U182" s="22"/>
    </row>
    <row r="183" spans="1:21" ht="14" x14ac:dyDescent="0.3">
      <c r="A183" s="22"/>
      <c r="B183" s="22"/>
      <c r="C183" s="22"/>
      <c r="D183" s="22"/>
      <c r="E183" s="22"/>
      <c r="F183" s="24"/>
      <c r="G183" s="22"/>
      <c r="H183" s="22"/>
      <c r="I183" s="22"/>
      <c r="J183" s="22"/>
      <c r="K183" s="24"/>
      <c r="L183" s="22"/>
      <c r="M183" s="22"/>
      <c r="N183" s="22"/>
      <c r="O183" s="22"/>
      <c r="P183" s="22"/>
      <c r="Q183" s="22"/>
      <c r="R183" s="22"/>
      <c r="S183" s="22"/>
      <c r="T183" s="22"/>
      <c r="U183" s="22"/>
    </row>
    <row r="184" spans="1:21" ht="14" x14ac:dyDescent="0.3">
      <c r="A184" s="22"/>
      <c r="B184" s="22"/>
      <c r="C184" s="22"/>
      <c r="D184" s="22"/>
      <c r="E184" s="22"/>
      <c r="F184" s="24"/>
      <c r="G184" s="22"/>
      <c r="H184" s="22"/>
      <c r="I184" s="22"/>
      <c r="J184" s="22"/>
      <c r="K184" s="24"/>
      <c r="L184" s="22"/>
      <c r="M184" s="22"/>
      <c r="N184" s="22"/>
      <c r="O184" s="22"/>
      <c r="P184" s="22"/>
      <c r="Q184" s="22"/>
      <c r="R184" s="22"/>
      <c r="S184" s="22"/>
      <c r="T184" s="22"/>
      <c r="U184" s="22"/>
    </row>
    <row r="185" spans="1:21" ht="14" x14ac:dyDescent="0.3">
      <c r="A185" s="149" t="s">
        <v>302</v>
      </c>
      <c r="B185" s="149">
        <f t="shared" ref="B185:K185" si="23">B171+B176+B182</f>
        <v>-8276429</v>
      </c>
      <c r="C185" s="149">
        <f t="shared" si="23"/>
        <v>244768</v>
      </c>
      <c r="D185" s="149">
        <f t="shared" si="23"/>
        <v>2227163</v>
      </c>
      <c r="E185" s="149">
        <f t="shared" si="23"/>
        <v>8581051</v>
      </c>
      <c r="F185" s="155">
        <f t="shared" si="23"/>
        <v>5827680</v>
      </c>
      <c r="G185" s="149">
        <f t="shared" ca="1" si="23"/>
        <v>16929687.943291202</v>
      </c>
      <c r="H185" s="149">
        <f t="shared" ca="1" si="23"/>
        <v>4172587.1902244505</v>
      </c>
      <c r="I185" s="149">
        <f t="shared" ca="1" si="23"/>
        <v>3495868.2011856153</v>
      </c>
      <c r="J185" s="149">
        <f t="shared" ca="1" si="23"/>
        <v>3840980.2973053013</v>
      </c>
      <c r="K185" s="155">
        <f t="shared" ca="1" si="23"/>
        <v>3604478.7448914223</v>
      </c>
      <c r="L185" s="22"/>
      <c r="M185" s="22"/>
      <c r="N185" s="22"/>
      <c r="O185" s="22"/>
      <c r="P185" s="22"/>
      <c r="Q185" s="22"/>
      <c r="R185" s="22"/>
      <c r="S185" s="22"/>
      <c r="T185" s="22"/>
      <c r="U185" s="22"/>
    </row>
    <row r="186" spans="1:21" ht="14" x14ac:dyDescent="0.3">
      <c r="A186" s="22" t="s">
        <v>303</v>
      </c>
      <c r="B186" s="22"/>
      <c r="C186" s="22"/>
      <c r="D186" s="22"/>
      <c r="E186" s="22"/>
      <c r="F186" s="24"/>
      <c r="G186" s="22">
        <f>F79</f>
        <v>10801097</v>
      </c>
      <c r="H186" s="22">
        <f ca="1">G79</f>
        <v>27730784.943291202</v>
      </c>
      <c r="I186" s="22">
        <f ca="1">H79</f>
        <v>31903372.133515649</v>
      </c>
      <c r="J186" s="22">
        <f ca="1">I79</f>
        <v>35399240.334701255</v>
      </c>
      <c r="K186" s="24">
        <f ca="1">J79</f>
        <v>39240220.632006578</v>
      </c>
      <c r="L186" s="22"/>
      <c r="M186" s="22"/>
      <c r="N186" s="22"/>
      <c r="O186" s="22"/>
      <c r="P186" s="22"/>
      <c r="Q186" s="22"/>
      <c r="R186" s="22"/>
      <c r="S186" s="22"/>
      <c r="T186" s="22"/>
      <c r="U186" s="22"/>
    </row>
    <row r="187" spans="1:21" ht="14" x14ac:dyDescent="0.3">
      <c r="A187" s="76" t="s">
        <v>304</v>
      </c>
      <c r="B187" s="76"/>
      <c r="C187" s="76"/>
      <c r="D187" s="76"/>
      <c r="E187" s="76"/>
      <c r="F187" s="77"/>
      <c r="G187" s="76">
        <f ca="1">SUM(G185:G186)</f>
        <v>27730784.943291202</v>
      </c>
      <c r="H187" s="76">
        <f ca="1">SUM(H185:H186)</f>
        <v>31903372.133515652</v>
      </c>
      <c r="I187" s="76">
        <f ca="1">SUM(I185:I186)</f>
        <v>35399240.334701262</v>
      </c>
      <c r="J187" s="76">
        <f ca="1">SUM(J185:J186)</f>
        <v>39240220.632006556</v>
      </c>
      <c r="K187" s="77">
        <f ca="1">SUM(K185:K186)</f>
        <v>42844699.376897998</v>
      </c>
      <c r="L187" s="22"/>
      <c r="M187" s="22"/>
      <c r="N187" s="22"/>
      <c r="O187" s="22"/>
      <c r="P187" s="22"/>
      <c r="Q187" s="22"/>
      <c r="R187" s="22"/>
      <c r="S187" s="22"/>
      <c r="T187" s="22"/>
      <c r="U187" s="22"/>
    </row>
    <row r="188" spans="1:21" ht="14" x14ac:dyDescent="0.3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22"/>
      <c r="M188" s="22"/>
      <c r="N188" s="22"/>
      <c r="O188" s="22"/>
      <c r="P188" s="22"/>
      <c r="Q188" s="22"/>
      <c r="R188" s="22"/>
      <c r="S188" s="22"/>
      <c r="T188" s="22"/>
      <c r="U188" s="22"/>
    </row>
    <row r="189" spans="1:21" ht="14" x14ac:dyDescent="0.3">
      <c r="A189" s="177" t="s">
        <v>305</v>
      </c>
      <c r="B189" s="5" t="s">
        <v>15</v>
      </c>
      <c r="C189" s="5" t="s">
        <v>16</v>
      </c>
      <c r="D189" s="5" t="s">
        <v>17</v>
      </c>
      <c r="E189" s="5" t="s">
        <v>18</v>
      </c>
      <c r="F189" s="6" t="s">
        <v>19</v>
      </c>
      <c r="G189" s="5" t="s">
        <v>20</v>
      </c>
      <c r="H189" s="5" t="s">
        <v>21</v>
      </c>
      <c r="I189" s="5" t="s">
        <v>22</v>
      </c>
      <c r="J189" s="5" t="s">
        <v>23</v>
      </c>
      <c r="K189" s="5" t="s">
        <v>24</v>
      </c>
      <c r="L189" s="22"/>
      <c r="M189" s="22"/>
      <c r="N189" s="22"/>
      <c r="O189" s="22"/>
      <c r="P189" s="22"/>
      <c r="Q189" s="22"/>
      <c r="R189" s="22"/>
      <c r="S189" s="22"/>
      <c r="T189" s="22"/>
      <c r="U189" s="22"/>
    </row>
    <row r="190" spans="1:21" ht="14" x14ac:dyDescent="0.3">
      <c r="A190" s="178" t="s">
        <v>306</v>
      </c>
      <c r="B190" s="142">
        <f t="shared" ref="B190:K190" si="24">B9/B7</f>
        <v>8.28360930058505E-2</v>
      </c>
      <c r="C190" s="142">
        <f t="shared" si="24"/>
        <v>7.5593730000141551E-2</v>
      </c>
      <c r="D190" s="142">
        <f t="shared" si="24"/>
        <v>4.5716597347164677E-2</v>
      </c>
      <c r="E190" s="142">
        <f t="shared" si="24"/>
        <v>9.4964032420145741E-2</v>
      </c>
      <c r="F190" s="143">
        <f t="shared" si="24"/>
        <v>8.1398019373724817E-2</v>
      </c>
      <c r="G190" s="142">
        <f t="shared" si="24"/>
        <v>2.9838412148438243E-2</v>
      </c>
      <c r="H190" s="142">
        <f t="shared" si="24"/>
        <v>3.0530569509721567E-2</v>
      </c>
      <c r="I190" s="142">
        <f t="shared" si="24"/>
        <v>2.6017354886545344E-2</v>
      </c>
      <c r="J190" s="142">
        <f t="shared" si="24"/>
        <v>2.2180183193985802E-2</v>
      </c>
      <c r="K190" s="143">
        <f t="shared" si="24"/>
        <v>1.89162097473792E-2</v>
      </c>
      <c r="L190" s="22"/>
      <c r="M190" s="22"/>
      <c r="N190" s="22"/>
      <c r="O190" s="22"/>
      <c r="P190" s="22"/>
      <c r="Q190" s="22"/>
      <c r="R190" s="22"/>
      <c r="S190" s="22"/>
      <c r="T190" s="22"/>
      <c r="U190" s="22"/>
    </row>
    <row r="191" spans="1:21" ht="14" x14ac:dyDescent="0.3">
      <c r="A191" s="178" t="s">
        <v>307</v>
      </c>
      <c r="B191" s="142">
        <f t="shared" ref="B191:K191" si="25">B14/B7</f>
        <v>-3.5637880275701502E-3</v>
      </c>
      <c r="C191" s="142">
        <f t="shared" si="25"/>
        <v>2.1630233630567041E-3</v>
      </c>
      <c r="D191" s="142">
        <f t="shared" si="25"/>
        <v>-2.6494145888351705E-2</v>
      </c>
      <c r="E191" s="142">
        <f t="shared" si="25"/>
        <v>2.6423014416629472E-2</v>
      </c>
      <c r="F191" s="143">
        <f t="shared" si="25"/>
        <v>7.9342318054570603E-3</v>
      </c>
      <c r="G191" s="142">
        <f t="shared" ca="1" si="25"/>
        <v>5.3015192239461509E-3</v>
      </c>
      <c r="H191" s="142">
        <f t="shared" ca="1" si="25"/>
        <v>7.1117146919141587E-3</v>
      </c>
      <c r="I191" s="142">
        <f t="shared" ca="1" si="25"/>
        <v>4.1609626310891452E-3</v>
      </c>
      <c r="J191" s="142">
        <f t="shared" ca="1" si="25"/>
        <v>3.1348060713038881E-3</v>
      </c>
      <c r="K191" s="143">
        <f t="shared" ca="1" si="25"/>
        <v>2.2075762512309741E-3</v>
      </c>
      <c r="L191" s="22"/>
      <c r="M191" s="22"/>
      <c r="N191" s="22"/>
      <c r="O191" s="22"/>
      <c r="P191" s="22"/>
      <c r="Q191" s="22"/>
      <c r="R191" s="22"/>
      <c r="S191" s="22"/>
      <c r="T191" s="22"/>
      <c r="U191" s="22"/>
    </row>
    <row r="192" spans="1:21" ht="14" x14ac:dyDescent="0.3">
      <c r="A192" s="178" t="s">
        <v>308</v>
      </c>
      <c r="B192" s="142">
        <f t="shared" ref="B192:K192" si="26">B19/B7</f>
        <v>-5.9181737964132857E-3</v>
      </c>
      <c r="C192" s="142">
        <f t="shared" si="26"/>
        <v>-7.4393020608030398E-3</v>
      </c>
      <c r="D192" s="142">
        <f t="shared" si="26"/>
        <v>-2.919359017473153E-2</v>
      </c>
      <c r="E192" s="142">
        <f t="shared" si="26"/>
        <v>1.7924061180470203E-2</v>
      </c>
      <c r="F192" s="179">
        <f t="shared" si="26"/>
        <v>-1.7521968713769226E-4</v>
      </c>
      <c r="G192" s="142">
        <f t="shared" ca="1" si="26"/>
        <v>-2.9390904811274553E-3</v>
      </c>
      <c r="H192" s="142">
        <f t="shared" ca="1" si="26"/>
        <v>-8.4829647208235315E-4</v>
      </c>
      <c r="I192" s="142">
        <f t="shared" ca="1" si="26"/>
        <v>-3.5355703011132177E-3</v>
      </c>
      <c r="J192" s="142">
        <f t="shared" ca="1" si="26"/>
        <v>-4.5206332404134925E-3</v>
      </c>
      <c r="K192" s="143">
        <f t="shared" ca="1" si="26"/>
        <v>-5.4120756080246876E-3</v>
      </c>
      <c r="L192" s="22"/>
      <c r="M192" s="22"/>
      <c r="N192" s="22"/>
      <c r="O192" s="22"/>
      <c r="P192" s="22"/>
      <c r="Q192" s="22"/>
      <c r="R192" s="22"/>
      <c r="S192" s="22"/>
      <c r="T192" s="22"/>
      <c r="U192" s="22"/>
    </row>
    <row r="193" spans="1:21" ht="14" x14ac:dyDescent="0.3">
      <c r="A193" s="178" t="s">
        <v>309</v>
      </c>
      <c r="B193" s="142">
        <f t="shared" ref="B193:K193" si="27">-B19/B82</f>
        <v>2.2436115650425737E-2</v>
      </c>
      <c r="C193" s="142">
        <f t="shared" si="27"/>
        <v>2.644889746075154E-2</v>
      </c>
      <c r="D193" s="142">
        <f t="shared" si="27"/>
        <v>8.8223182430081051E-2</v>
      </c>
      <c r="E193" s="142">
        <f t="shared" si="27"/>
        <v>-5.2644217989305325E-2</v>
      </c>
      <c r="F193" s="208">
        <f t="shared" si="27"/>
        <v>7.1081604322022619E-4</v>
      </c>
      <c r="G193" s="142">
        <f t="shared" ca="1" si="27"/>
        <v>1.1764010808800884E-2</v>
      </c>
      <c r="H193" s="142">
        <f t="shared" ca="1" si="27"/>
        <v>3.5007487295315837E-3</v>
      </c>
      <c r="I193" s="142">
        <f t="shared" ca="1" si="27"/>
        <v>1.5080510830699164E-2</v>
      </c>
      <c r="J193" s="142">
        <f t="shared" ca="1" si="27"/>
        <v>1.9912870581124169E-2</v>
      </c>
      <c r="K193" s="142">
        <f t="shared" ca="1" si="27"/>
        <v>2.4575207326380768E-2</v>
      </c>
      <c r="L193" s="22"/>
      <c r="M193" s="22"/>
      <c r="N193" s="22"/>
      <c r="O193" s="22"/>
      <c r="P193" s="22"/>
      <c r="Q193" s="22"/>
      <c r="R193" s="22"/>
      <c r="S193" s="22"/>
      <c r="T193" s="22"/>
      <c r="U193" s="22"/>
    </row>
    <row r="194" spans="1:21" ht="14" x14ac:dyDescent="0.3">
      <c r="A194" s="178" t="s">
        <v>310</v>
      </c>
      <c r="B194" s="142">
        <f t="shared" ref="B194:K194" si="28">-B19/B94</f>
        <v>0.17345020447570578</v>
      </c>
      <c r="C194" s="142">
        <f t="shared" si="28"/>
        <v>0.34624119084633359</v>
      </c>
      <c r="D194" s="142">
        <f t="shared" si="28"/>
        <v>-7.4037631361925431</v>
      </c>
      <c r="E194" s="142">
        <f t="shared" si="28"/>
        <v>-0.29154208119374397</v>
      </c>
      <c r="F194" s="208">
        <f t="shared" si="28"/>
        <v>4.9539309020048168E-3</v>
      </c>
      <c r="G194" s="142">
        <f t="shared" ca="1" si="28"/>
        <v>0.18674199767209612</v>
      </c>
      <c r="H194" s="142">
        <f t="shared" ca="1" si="28"/>
        <v>7.3962311516096099E-2</v>
      </c>
      <c r="I194" s="142">
        <f t="shared" ca="1" si="28"/>
        <v>0.66968844427747154</v>
      </c>
      <c r="J194" s="142">
        <f t="shared" ca="1" si="28"/>
        <v>-6.3899439573184909</v>
      </c>
      <c r="K194" s="142">
        <f t="shared" ca="1" si="28"/>
        <v>-0.84946996712423894</v>
      </c>
      <c r="L194" s="22"/>
      <c r="M194" s="22"/>
      <c r="N194" s="22"/>
      <c r="O194" s="22"/>
      <c r="P194" s="22"/>
      <c r="Q194" s="22"/>
      <c r="R194" s="22"/>
      <c r="S194" s="22"/>
      <c r="T194" s="22"/>
      <c r="U194" s="22"/>
    </row>
    <row r="195" spans="1:21" ht="14" x14ac:dyDescent="0.3">
      <c r="A195" s="178" t="s">
        <v>31</v>
      </c>
      <c r="B195" s="25">
        <f t="shared" ref="B195:K195" si="29">B21</f>
        <v>-10.297738491464129</v>
      </c>
      <c r="C195" s="25">
        <f t="shared" si="29"/>
        <v>-13.884072855117976</v>
      </c>
      <c r="D195" s="25">
        <f t="shared" si="29"/>
        <v>-31.185854998217156</v>
      </c>
      <c r="E195" s="25">
        <f t="shared" si="29"/>
        <v>21.8835917288704</v>
      </c>
      <c r="F195" s="26">
        <f t="shared" si="29"/>
        <v>-0.33787227754154797</v>
      </c>
      <c r="G195" s="25">
        <f t="shared" ca="1" si="29"/>
        <v>-10.260118185185451</v>
      </c>
      <c r="H195" s="25">
        <f t="shared" ca="1" si="29"/>
        <v>-3.5772256950957737</v>
      </c>
      <c r="I195" s="25">
        <f t="shared" ca="1" si="29"/>
        <v>-18.195469318125756</v>
      </c>
      <c r="J195" s="25">
        <f t="shared" ca="1" si="29"/>
        <v>-28.654337378560069</v>
      </c>
      <c r="K195" s="26">
        <f t="shared" ca="1" si="29"/>
        <v>-42.235268363299483</v>
      </c>
      <c r="L195" s="22"/>
      <c r="M195" s="22"/>
      <c r="N195" s="22"/>
      <c r="O195" s="22"/>
      <c r="P195" s="22"/>
      <c r="Q195" s="22"/>
      <c r="R195" s="22"/>
      <c r="S195" s="22"/>
      <c r="T195" s="22"/>
      <c r="U195" s="22"/>
    </row>
    <row r="196" spans="1:21" ht="14" x14ac:dyDescent="0.3">
      <c r="A196" s="180" t="s">
        <v>32</v>
      </c>
      <c r="B196" s="28">
        <f t="shared" ref="B196:K196" si="30">B22</f>
        <v>7</v>
      </c>
      <c r="C196" s="28">
        <f t="shared" si="30"/>
        <v>0</v>
      </c>
      <c r="D196" s="28">
        <f t="shared" si="30"/>
        <v>0</v>
      </c>
      <c r="E196" s="28">
        <f t="shared" si="30"/>
        <v>0</v>
      </c>
      <c r="F196" s="29">
        <f t="shared" si="30"/>
        <v>3</v>
      </c>
      <c r="G196" s="28">
        <f t="shared" si="30"/>
        <v>3</v>
      </c>
      <c r="H196" s="28">
        <f t="shared" si="30"/>
        <v>3</v>
      </c>
      <c r="I196" s="28">
        <f t="shared" si="30"/>
        <v>3</v>
      </c>
      <c r="J196" s="28">
        <f t="shared" si="30"/>
        <v>3</v>
      </c>
      <c r="K196" s="29">
        <f t="shared" si="30"/>
        <v>3</v>
      </c>
      <c r="L196" s="22"/>
      <c r="M196" s="22"/>
      <c r="N196" s="22"/>
      <c r="O196" s="22"/>
      <c r="P196" s="22"/>
      <c r="Q196" s="22"/>
      <c r="R196" s="22"/>
      <c r="S196" s="22"/>
      <c r="T196" s="22"/>
      <c r="U196" s="22"/>
    </row>
    <row r="197" spans="1:21" ht="14" x14ac:dyDescent="0.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</row>
    <row r="198" spans="1:21" ht="14" x14ac:dyDescent="0.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</row>
    <row r="199" spans="1:21" ht="14" x14ac:dyDescent="0.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</row>
    <row r="200" spans="1:21" ht="14" x14ac:dyDescent="0.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</row>
    <row r="201" spans="1:21" ht="14" x14ac:dyDescent="0.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</row>
    <row r="202" spans="1:21" ht="14" x14ac:dyDescent="0.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</row>
    <row r="203" spans="1:21" ht="14" x14ac:dyDescent="0.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</row>
    <row r="204" spans="1:21" ht="14" x14ac:dyDescent="0.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</row>
    <row r="205" spans="1:21" ht="14" x14ac:dyDescent="0.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</row>
    <row r="206" spans="1:21" ht="14" x14ac:dyDescent="0.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</row>
    <row r="207" spans="1:21" ht="14" x14ac:dyDescent="0.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</row>
    <row r="208" spans="1:21" ht="14" x14ac:dyDescent="0.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</row>
    <row r="209" spans="1:21" ht="14" x14ac:dyDescent="0.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</row>
    <row r="210" spans="1:21" ht="14" x14ac:dyDescent="0.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</row>
    <row r="211" spans="1:21" ht="14" x14ac:dyDescent="0.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</row>
    <row r="212" spans="1:21" ht="14" x14ac:dyDescent="0.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</row>
    <row r="213" spans="1:21" ht="14" x14ac:dyDescent="0.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</row>
    <row r="214" spans="1:21" ht="14" x14ac:dyDescent="0.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</row>
    <row r="215" spans="1:21" ht="14" x14ac:dyDescent="0.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</row>
    <row r="216" spans="1:21" ht="14" x14ac:dyDescent="0.3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</row>
    <row r="217" spans="1:21" ht="14" x14ac:dyDescent="0.3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</row>
    <row r="218" spans="1:21" ht="14" x14ac:dyDescent="0.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</row>
    <row r="219" spans="1:21" ht="14" x14ac:dyDescent="0.3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</row>
    <row r="220" spans="1:21" ht="14" x14ac:dyDescent="0.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</row>
    <row r="221" spans="1:21" ht="14" x14ac:dyDescent="0.3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</row>
    <row r="222" spans="1:21" ht="14" x14ac:dyDescent="0.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</row>
    <row r="223" spans="1:21" ht="14" x14ac:dyDescent="0.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</row>
    <row r="224" spans="1:21" ht="14" x14ac:dyDescent="0.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</row>
    <row r="225" spans="1:21" ht="14" x14ac:dyDescent="0.3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</row>
    <row r="226" spans="1:21" ht="14" x14ac:dyDescent="0.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</row>
    <row r="227" spans="1:21" ht="14" x14ac:dyDescent="0.3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</row>
    <row r="228" spans="1:21" ht="14" x14ac:dyDescent="0.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</row>
    <row r="229" spans="1:21" ht="14" x14ac:dyDescent="0.3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</row>
    <row r="230" spans="1:21" ht="14" x14ac:dyDescent="0.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</row>
    <row r="231" spans="1:21" ht="14" x14ac:dyDescent="0.3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</row>
    <row r="232" spans="1:21" ht="14" x14ac:dyDescent="0.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</row>
    <row r="233" spans="1:21" ht="14" x14ac:dyDescent="0.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</row>
    <row r="234" spans="1:21" ht="14" x14ac:dyDescent="0.3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</row>
    <row r="235" spans="1:21" ht="14" x14ac:dyDescent="0.3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</row>
    <row r="236" spans="1:21" ht="14" x14ac:dyDescent="0.3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</row>
    <row r="237" spans="1:21" ht="14" x14ac:dyDescent="0.3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</row>
    <row r="238" spans="1:21" ht="14" x14ac:dyDescent="0.3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</row>
    <row r="239" spans="1:21" ht="14" x14ac:dyDescent="0.3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</row>
    <row r="240" spans="1:21" ht="14" x14ac:dyDescent="0.3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</row>
    <row r="241" spans="1:21" ht="14" x14ac:dyDescent="0.3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</row>
    <row r="242" spans="1:21" ht="14" x14ac:dyDescent="0.3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</row>
    <row r="243" spans="1:21" ht="14" x14ac:dyDescent="0.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</row>
    <row r="244" spans="1:21" ht="14" x14ac:dyDescent="0.3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</row>
    <row r="245" spans="1:21" ht="14" x14ac:dyDescent="0.3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</row>
    <row r="246" spans="1:21" ht="14" x14ac:dyDescent="0.3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</row>
    <row r="247" spans="1:21" ht="14" x14ac:dyDescent="0.3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</row>
    <row r="248" spans="1:21" ht="14" x14ac:dyDescent="0.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</row>
    <row r="249" spans="1:21" ht="14" x14ac:dyDescent="0.3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</row>
    <row r="250" spans="1:21" ht="14" x14ac:dyDescent="0.3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</row>
    <row r="251" spans="1:21" ht="14" x14ac:dyDescent="0.3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</row>
    <row r="252" spans="1:21" ht="14" x14ac:dyDescent="0.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</row>
    <row r="253" spans="1:21" ht="14" x14ac:dyDescent="0.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</row>
    <row r="254" spans="1:21" ht="14" x14ac:dyDescent="0.3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</row>
    <row r="255" spans="1:21" ht="14" x14ac:dyDescent="0.3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</row>
    <row r="256" spans="1:21" ht="14" x14ac:dyDescent="0.3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</row>
    <row r="257" spans="1:21" ht="14" x14ac:dyDescent="0.3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</row>
    <row r="258" spans="1:21" ht="14" x14ac:dyDescent="0.3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</row>
    <row r="259" spans="1:21" ht="14" x14ac:dyDescent="0.3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</row>
    <row r="260" spans="1:21" ht="14" x14ac:dyDescent="0.3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</row>
    <row r="261" spans="1:21" ht="14" x14ac:dyDescent="0.3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</row>
    <row r="262" spans="1:21" ht="14" x14ac:dyDescent="0.3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</row>
    <row r="263" spans="1:21" ht="14" x14ac:dyDescent="0.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</row>
    <row r="264" spans="1:21" ht="14" x14ac:dyDescent="0.3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</row>
    <row r="265" spans="1:21" ht="14" x14ac:dyDescent="0.3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</row>
    <row r="266" spans="1:21" ht="14" x14ac:dyDescent="0.3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</row>
    <row r="267" spans="1:21" ht="14" x14ac:dyDescent="0.3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</row>
    <row r="268" spans="1:21" ht="14" x14ac:dyDescent="0.3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</row>
    <row r="269" spans="1:21" ht="14" x14ac:dyDescent="0.3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</row>
    <row r="270" spans="1:21" ht="14" x14ac:dyDescent="0.3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</row>
    <row r="271" spans="1:21" ht="14" x14ac:dyDescent="0.3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</row>
    <row r="272" spans="1:21" ht="14" x14ac:dyDescent="0.3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</row>
    <row r="273" spans="1:21" ht="14" x14ac:dyDescent="0.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</row>
    <row r="274" spans="1:21" ht="14" x14ac:dyDescent="0.3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</row>
    <row r="275" spans="1:21" ht="14" x14ac:dyDescent="0.3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</row>
    <row r="276" spans="1:21" ht="14" x14ac:dyDescent="0.3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</row>
    <row r="277" spans="1:21" ht="14" x14ac:dyDescent="0.3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</row>
    <row r="278" spans="1:21" ht="14" x14ac:dyDescent="0.3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</row>
    <row r="279" spans="1:21" ht="14" x14ac:dyDescent="0.3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</row>
    <row r="280" spans="1:21" ht="14" x14ac:dyDescent="0.3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</row>
    <row r="281" spans="1:21" ht="14" x14ac:dyDescent="0.3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</row>
    <row r="282" spans="1:21" ht="14" x14ac:dyDescent="0.3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</row>
    <row r="283" spans="1:21" ht="14" x14ac:dyDescent="0.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</row>
    <row r="284" spans="1:21" ht="14" x14ac:dyDescent="0.3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</row>
    <row r="285" spans="1:21" ht="14" x14ac:dyDescent="0.3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</row>
    <row r="286" spans="1:21" ht="14" x14ac:dyDescent="0.3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</row>
    <row r="287" spans="1:21" ht="14" x14ac:dyDescent="0.3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</row>
    <row r="288" spans="1:21" ht="14" x14ac:dyDescent="0.3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</row>
    <row r="289" spans="1:21" ht="14" x14ac:dyDescent="0.3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</row>
    <row r="290" spans="1:21" ht="14" x14ac:dyDescent="0.3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</row>
    <row r="291" spans="1:21" ht="14" x14ac:dyDescent="0.3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</row>
    <row r="292" spans="1:21" ht="14" x14ac:dyDescent="0.3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</row>
    <row r="293" spans="1:21" ht="14" x14ac:dyDescent="0.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</row>
    <row r="294" spans="1:21" ht="14" x14ac:dyDescent="0.3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</row>
    <row r="295" spans="1:21" ht="14" x14ac:dyDescent="0.3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</row>
    <row r="296" spans="1:21" ht="14" x14ac:dyDescent="0.3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</row>
    <row r="297" spans="1:21" ht="14" x14ac:dyDescent="0.3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</row>
    <row r="298" spans="1:21" ht="14" x14ac:dyDescent="0.3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</row>
    <row r="299" spans="1:21" ht="14" x14ac:dyDescent="0.3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</row>
    <row r="300" spans="1:21" ht="14" x14ac:dyDescent="0.3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</row>
    <row r="301" spans="1:21" ht="14" x14ac:dyDescent="0.3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</row>
    <row r="302" spans="1:21" ht="14" x14ac:dyDescent="0.3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</row>
    <row r="303" spans="1:21" ht="14" x14ac:dyDescent="0.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</row>
    <row r="304" spans="1:21" ht="14" x14ac:dyDescent="0.3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</row>
    <row r="305" spans="1:21" ht="14" x14ac:dyDescent="0.3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</row>
    <row r="306" spans="1:21" ht="14" x14ac:dyDescent="0.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</row>
    <row r="307" spans="1:21" ht="14" x14ac:dyDescent="0.3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</row>
    <row r="308" spans="1:21" ht="14" x14ac:dyDescent="0.3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</row>
    <row r="309" spans="1:21" ht="14" x14ac:dyDescent="0.3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</row>
    <row r="310" spans="1:21" ht="14" x14ac:dyDescent="0.3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</row>
    <row r="311" spans="1:21" ht="14" x14ac:dyDescent="0.3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</row>
    <row r="312" spans="1:21" ht="14" x14ac:dyDescent="0.3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</row>
    <row r="313" spans="1:21" ht="14" x14ac:dyDescent="0.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</row>
    <row r="314" spans="1:21" ht="14" x14ac:dyDescent="0.3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</row>
    <row r="315" spans="1:21" ht="14" x14ac:dyDescent="0.3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</row>
    <row r="316" spans="1:21" ht="14" x14ac:dyDescent="0.3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</row>
    <row r="317" spans="1:21" ht="14" x14ac:dyDescent="0.3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</row>
    <row r="318" spans="1:21" ht="14" x14ac:dyDescent="0.3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</row>
    <row r="319" spans="1:21" ht="14" x14ac:dyDescent="0.3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</row>
    <row r="320" spans="1:21" ht="14" x14ac:dyDescent="0.3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</row>
    <row r="321" spans="1:21" ht="14" x14ac:dyDescent="0.3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</row>
    <row r="322" spans="1:21" ht="14" x14ac:dyDescent="0.3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</row>
    <row r="323" spans="1:21" ht="14" x14ac:dyDescent="0.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</row>
    <row r="324" spans="1:21" ht="14" x14ac:dyDescent="0.3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</row>
    <row r="325" spans="1:21" ht="14" x14ac:dyDescent="0.3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</row>
    <row r="326" spans="1:21" ht="14" x14ac:dyDescent="0.3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</row>
    <row r="327" spans="1:21" ht="14" x14ac:dyDescent="0.3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</row>
    <row r="328" spans="1:21" ht="14" x14ac:dyDescent="0.3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</row>
    <row r="329" spans="1:21" ht="14" x14ac:dyDescent="0.3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</row>
    <row r="330" spans="1:21" ht="14" x14ac:dyDescent="0.3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</row>
    <row r="331" spans="1:21" ht="14" x14ac:dyDescent="0.3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</row>
    <row r="332" spans="1:21" ht="14" x14ac:dyDescent="0.3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</row>
    <row r="333" spans="1:21" ht="14" x14ac:dyDescent="0.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</row>
    <row r="334" spans="1:21" ht="14" x14ac:dyDescent="0.3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</row>
    <row r="335" spans="1:21" ht="14" x14ac:dyDescent="0.3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</row>
    <row r="336" spans="1:21" ht="14" x14ac:dyDescent="0.3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</row>
    <row r="337" spans="1:21" ht="14" x14ac:dyDescent="0.3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</row>
    <row r="338" spans="1:21" ht="14" x14ac:dyDescent="0.3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</row>
    <row r="339" spans="1:21" ht="14" x14ac:dyDescent="0.3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</row>
    <row r="340" spans="1:21" ht="14" x14ac:dyDescent="0.3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</row>
    <row r="341" spans="1:21" ht="14" x14ac:dyDescent="0.3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</row>
    <row r="342" spans="1:21" ht="14" x14ac:dyDescent="0.3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</row>
    <row r="343" spans="1:21" ht="14" x14ac:dyDescent="0.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</row>
    <row r="344" spans="1:21" ht="14" x14ac:dyDescent="0.3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</row>
    <row r="345" spans="1:21" ht="14" x14ac:dyDescent="0.3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</row>
    <row r="346" spans="1:21" ht="14" x14ac:dyDescent="0.3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</row>
    <row r="347" spans="1:21" ht="14" x14ac:dyDescent="0.3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</row>
    <row r="348" spans="1:21" ht="14" x14ac:dyDescent="0.3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</row>
    <row r="349" spans="1:21" ht="14" x14ac:dyDescent="0.3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</row>
    <row r="350" spans="1:21" ht="14" x14ac:dyDescent="0.3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</row>
    <row r="351" spans="1:21" ht="14" x14ac:dyDescent="0.3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</row>
    <row r="352" spans="1:21" ht="14" x14ac:dyDescent="0.3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</row>
    <row r="353" spans="1:21" ht="14" x14ac:dyDescent="0.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</row>
    <row r="354" spans="1:21" ht="14" x14ac:dyDescent="0.3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</row>
    <row r="355" spans="1:21" ht="14" x14ac:dyDescent="0.3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</row>
    <row r="356" spans="1:21" ht="14" x14ac:dyDescent="0.3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</row>
    <row r="357" spans="1:21" ht="14" x14ac:dyDescent="0.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</row>
    <row r="358" spans="1:21" ht="14" x14ac:dyDescent="0.3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</row>
    <row r="359" spans="1:21" ht="14" x14ac:dyDescent="0.3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</row>
    <row r="360" spans="1:21" ht="14" x14ac:dyDescent="0.3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</row>
    <row r="361" spans="1:21" ht="14" x14ac:dyDescent="0.3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</row>
    <row r="362" spans="1:21" ht="14" x14ac:dyDescent="0.3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</row>
    <row r="363" spans="1:21" ht="14" x14ac:dyDescent="0.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</row>
    <row r="364" spans="1:21" ht="14" x14ac:dyDescent="0.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</row>
    <row r="365" spans="1:21" ht="14" x14ac:dyDescent="0.3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</row>
    <row r="366" spans="1:21" ht="14" x14ac:dyDescent="0.3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</row>
    <row r="367" spans="1:21" ht="14" x14ac:dyDescent="0.3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</row>
    <row r="368" spans="1:21" ht="14" x14ac:dyDescent="0.3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</row>
    <row r="369" spans="1:21" ht="14" x14ac:dyDescent="0.3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</row>
    <row r="370" spans="1:21" ht="14" x14ac:dyDescent="0.3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</row>
    <row r="371" spans="1:21" ht="14" x14ac:dyDescent="0.3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</row>
    <row r="372" spans="1:21" ht="14" x14ac:dyDescent="0.3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</row>
    <row r="373" spans="1:21" ht="14" x14ac:dyDescent="0.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</row>
    <row r="374" spans="1:21" ht="14" x14ac:dyDescent="0.3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</row>
    <row r="375" spans="1:21" ht="14" x14ac:dyDescent="0.3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</row>
    <row r="376" spans="1:21" ht="14" x14ac:dyDescent="0.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</row>
    <row r="377" spans="1:21" ht="14" x14ac:dyDescent="0.3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</row>
    <row r="378" spans="1:21" ht="14" x14ac:dyDescent="0.3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</row>
    <row r="379" spans="1:21" ht="14" x14ac:dyDescent="0.3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</row>
    <row r="380" spans="1:21" ht="14" x14ac:dyDescent="0.3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</row>
    <row r="381" spans="1:21" ht="14" x14ac:dyDescent="0.3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</row>
    <row r="382" spans="1:21" ht="14" x14ac:dyDescent="0.3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</row>
    <row r="383" spans="1:21" ht="14" x14ac:dyDescent="0.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</row>
    <row r="384" spans="1:21" ht="14" x14ac:dyDescent="0.3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</row>
    <row r="385" spans="1:21" ht="14" x14ac:dyDescent="0.3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</row>
    <row r="386" spans="1:21" ht="14" x14ac:dyDescent="0.3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</row>
    <row r="387" spans="1:21" ht="14" x14ac:dyDescent="0.3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</row>
    <row r="388" spans="1:21" ht="14" x14ac:dyDescent="0.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</row>
    <row r="389" spans="1:21" ht="14" x14ac:dyDescent="0.3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</row>
    <row r="390" spans="1:21" ht="14" x14ac:dyDescent="0.3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</row>
    <row r="391" spans="1:21" ht="14" x14ac:dyDescent="0.3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</row>
    <row r="392" spans="1:21" ht="14" x14ac:dyDescent="0.3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</row>
    <row r="393" spans="1:21" ht="14" x14ac:dyDescent="0.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</row>
    <row r="394" spans="1:21" ht="14" x14ac:dyDescent="0.3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</row>
    <row r="395" spans="1:21" ht="14" x14ac:dyDescent="0.3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</row>
    <row r="396" spans="1:21" ht="14" x14ac:dyDescent="0.3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</row>
    <row r="397" spans="1:21" ht="14" x14ac:dyDescent="0.3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</row>
    <row r="398" spans="1:21" ht="14" x14ac:dyDescent="0.3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</row>
    <row r="399" spans="1:21" ht="14" x14ac:dyDescent="0.3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</row>
    <row r="400" spans="1:21" ht="14" x14ac:dyDescent="0.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</row>
    <row r="401" spans="1:21" ht="14" x14ac:dyDescent="0.3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</row>
    <row r="402" spans="1:21" ht="14" x14ac:dyDescent="0.3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</row>
    <row r="403" spans="1:21" ht="14" x14ac:dyDescent="0.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</row>
    <row r="404" spans="1:21" ht="14" x14ac:dyDescent="0.3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</row>
    <row r="405" spans="1:21" ht="14" x14ac:dyDescent="0.3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</row>
    <row r="406" spans="1:21" ht="14" x14ac:dyDescent="0.3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</row>
    <row r="407" spans="1:21" ht="14" x14ac:dyDescent="0.3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</row>
    <row r="408" spans="1:21" ht="14" x14ac:dyDescent="0.3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</row>
    <row r="409" spans="1:21" ht="14" x14ac:dyDescent="0.3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</row>
    <row r="410" spans="1:21" ht="14" x14ac:dyDescent="0.3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</row>
    <row r="411" spans="1:21" ht="14" x14ac:dyDescent="0.3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</row>
    <row r="412" spans="1:21" ht="14" x14ac:dyDescent="0.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</row>
    <row r="413" spans="1:21" ht="14" x14ac:dyDescent="0.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</row>
    <row r="414" spans="1:21" ht="14" x14ac:dyDescent="0.3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</row>
    <row r="415" spans="1:21" ht="14" x14ac:dyDescent="0.3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</row>
    <row r="416" spans="1:21" ht="14" x14ac:dyDescent="0.3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</row>
    <row r="417" spans="1:21" ht="14" x14ac:dyDescent="0.3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</row>
    <row r="418" spans="1:21" ht="14" x14ac:dyDescent="0.3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</row>
    <row r="419" spans="1:21" ht="14" x14ac:dyDescent="0.3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</row>
    <row r="420" spans="1:21" ht="14" x14ac:dyDescent="0.3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</row>
    <row r="421" spans="1:21" ht="14" x14ac:dyDescent="0.3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</row>
    <row r="422" spans="1:21" ht="14" x14ac:dyDescent="0.3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</row>
    <row r="423" spans="1:21" ht="14" x14ac:dyDescent="0.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</row>
    <row r="424" spans="1:21" ht="14" x14ac:dyDescent="0.3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</row>
    <row r="425" spans="1:21" ht="14" x14ac:dyDescent="0.3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</row>
    <row r="426" spans="1:21" ht="14" x14ac:dyDescent="0.3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</row>
    <row r="427" spans="1:21" ht="14" x14ac:dyDescent="0.3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</row>
    <row r="428" spans="1:21" ht="14" x14ac:dyDescent="0.3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</row>
    <row r="429" spans="1:21" ht="14" x14ac:dyDescent="0.3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</row>
    <row r="430" spans="1:21" ht="14" x14ac:dyDescent="0.3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</row>
    <row r="431" spans="1:21" ht="14" x14ac:dyDescent="0.3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</row>
    <row r="432" spans="1:21" ht="14" x14ac:dyDescent="0.3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</row>
    <row r="433" spans="1:21" ht="14" x14ac:dyDescent="0.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</row>
    <row r="434" spans="1:21" ht="14" x14ac:dyDescent="0.3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</row>
    <row r="435" spans="1:21" ht="14" x14ac:dyDescent="0.3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</row>
    <row r="436" spans="1:21" ht="14" x14ac:dyDescent="0.3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</row>
    <row r="437" spans="1:21" ht="14" x14ac:dyDescent="0.3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</row>
    <row r="438" spans="1:21" ht="14" x14ac:dyDescent="0.3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</row>
    <row r="439" spans="1:21" ht="14" x14ac:dyDescent="0.3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</row>
    <row r="440" spans="1:21" ht="14" x14ac:dyDescent="0.3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</row>
    <row r="441" spans="1:21" ht="14" x14ac:dyDescent="0.3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</row>
    <row r="442" spans="1:21" ht="14" x14ac:dyDescent="0.3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</row>
    <row r="443" spans="1:21" ht="14" x14ac:dyDescent="0.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</row>
    <row r="444" spans="1:21" ht="14" x14ac:dyDescent="0.3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</row>
    <row r="445" spans="1:21" ht="14" x14ac:dyDescent="0.3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</row>
    <row r="446" spans="1:21" ht="14" x14ac:dyDescent="0.3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</row>
    <row r="447" spans="1:21" ht="14" x14ac:dyDescent="0.3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</row>
    <row r="448" spans="1:21" ht="14" x14ac:dyDescent="0.3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</row>
    <row r="449" spans="1:21" ht="14" x14ac:dyDescent="0.3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</row>
    <row r="450" spans="1:21" ht="14" x14ac:dyDescent="0.3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</row>
    <row r="451" spans="1:21" ht="14" x14ac:dyDescent="0.3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</row>
    <row r="452" spans="1:21" ht="14" x14ac:dyDescent="0.3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</row>
    <row r="453" spans="1:21" ht="14" x14ac:dyDescent="0.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</row>
    <row r="454" spans="1:21" ht="14" x14ac:dyDescent="0.3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</row>
    <row r="455" spans="1:21" ht="14" x14ac:dyDescent="0.3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</row>
    <row r="456" spans="1:21" ht="14" x14ac:dyDescent="0.3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</row>
    <row r="457" spans="1:21" ht="14" x14ac:dyDescent="0.3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</row>
    <row r="458" spans="1:21" ht="14" x14ac:dyDescent="0.3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</row>
    <row r="459" spans="1:21" ht="14" x14ac:dyDescent="0.3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</row>
    <row r="460" spans="1:21" ht="14" x14ac:dyDescent="0.3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</row>
    <row r="461" spans="1:21" ht="14" x14ac:dyDescent="0.3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</row>
    <row r="462" spans="1:21" ht="14" x14ac:dyDescent="0.3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</row>
    <row r="463" spans="1:21" ht="14" x14ac:dyDescent="0.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</row>
    <row r="464" spans="1:21" ht="14" x14ac:dyDescent="0.3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</row>
    <row r="465" spans="1:21" ht="14" x14ac:dyDescent="0.3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</row>
    <row r="466" spans="1:21" ht="14" x14ac:dyDescent="0.3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</row>
    <row r="467" spans="1:21" ht="14" x14ac:dyDescent="0.3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</row>
    <row r="468" spans="1:21" ht="14" x14ac:dyDescent="0.3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</row>
    <row r="469" spans="1:21" ht="14" x14ac:dyDescent="0.3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</row>
    <row r="470" spans="1:21" ht="14" x14ac:dyDescent="0.3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</row>
    <row r="471" spans="1:21" ht="14" x14ac:dyDescent="0.3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</row>
    <row r="472" spans="1:21" ht="14" x14ac:dyDescent="0.3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</row>
    <row r="473" spans="1:21" ht="14" x14ac:dyDescent="0.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</row>
    <row r="474" spans="1:21" ht="14" x14ac:dyDescent="0.3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</row>
    <row r="475" spans="1:21" ht="14" x14ac:dyDescent="0.3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</row>
    <row r="476" spans="1:21" ht="14" x14ac:dyDescent="0.3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</row>
    <row r="477" spans="1:21" ht="14" x14ac:dyDescent="0.3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</row>
    <row r="478" spans="1:21" ht="14" x14ac:dyDescent="0.3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</row>
    <row r="479" spans="1:21" ht="14" x14ac:dyDescent="0.3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</row>
    <row r="480" spans="1:21" ht="14" x14ac:dyDescent="0.3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</row>
    <row r="481" spans="1:21" ht="14" x14ac:dyDescent="0.3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</row>
    <row r="482" spans="1:21" ht="14" x14ac:dyDescent="0.3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</row>
    <row r="483" spans="1:21" ht="14" x14ac:dyDescent="0.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</row>
    <row r="484" spans="1:21" ht="14" x14ac:dyDescent="0.3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</row>
    <row r="485" spans="1:21" ht="14" x14ac:dyDescent="0.3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</row>
    <row r="486" spans="1:21" ht="14" x14ac:dyDescent="0.3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</row>
    <row r="487" spans="1:21" ht="14" x14ac:dyDescent="0.3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</row>
    <row r="488" spans="1:21" ht="14" x14ac:dyDescent="0.3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</row>
    <row r="489" spans="1:21" ht="14" x14ac:dyDescent="0.3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</row>
    <row r="490" spans="1:21" ht="14" x14ac:dyDescent="0.3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</row>
    <row r="491" spans="1:21" ht="14" x14ac:dyDescent="0.3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</row>
    <row r="492" spans="1:21" ht="14" x14ac:dyDescent="0.3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</row>
    <row r="493" spans="1:21" ht="14" x14ac:dyDescent="0.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</row>
    <row r="494" spans="1:21" ht="14" x14ac:dyDescent="0.3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</row>
    <row r="495" spans="1:21" ht="14" x14ac:dyDescent="0.3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</row>
    <row r="496" spans="1:21" ht="14" x14ac:dyDescent="0.3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</row>
    <row r="497" spans="1:21" ht="14" x14ac:dyDescent="0.3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</row>
    <row r="498" spans="1:21" ht="14" x14ac:dyDescent="0.3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</row>
    <row r="499" spans="1:21" ht="14" x14ac:dyDescent="0.3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</row>
    <row r="500" spans="1:21" ht="14" x14ac:dyDescent="0.3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</row>
    <row r="501" spans="1:21" ht="14" x14ac:dyDescent="0.3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</row>
    <row r="502" spans="1:21" ht="14" x14ac:dyDescent="0.3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</row>
    <row r="503" spans="1:21" ht="14" x14ac:dyDescent="0.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</row>
    <row r="504" spans="1:21" ht="14" x14ac:dyDescent="0.3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</row>
    <row r="505" spans="1:21" ht="14" x14ac:dyDescent="0.3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</row>
    <row r="506" spans="1:21" ht="14" x14ac:dyDescent="0.3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</row>
    <row r="507" spans="1:21" ht="14" x14ac:dyDescent="0.3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</row>
    <row r="508" spans="1:21" ht="14" x14ac:dyDescent="0.3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</row>
    <row r="509" spans="1:21" ht="14" x14ac:dyDescent="0.3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</row>
    <row r="510" spans="1:21" ht="14" x14ac:dyDescent="0.3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</row>
    <row r="511" spans="1:21" ht="14" x14ac:dyDescent="0.3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</row>
    <row r="512" spans="1:21" ht="14" x14ac:dyDescent="0.3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</row>
    <row r="513" spans="1:21" ht="14" x14ac:dyDescent="0.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</row>
    <row r="514" spans="1:21" ht="14" x14ac:dyDescent="0.3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</row>
    <row r="515" spans="1:21" ht="14" x14ac:dyDescent="0.3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</row>
    <row r="516" spans="1:21" ht="14" x14ac:dyDescent="0.3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</row>
    <row r="517" spans="1:21" ht="14" x14ac:dyDescent="0.3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</row>
    <row r="518" spans="1:21" ht="14" x14ac:dyDescent="0.3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</row>
    <row r="519" spans="1:21" ht="14" x14ac:dyDescent="0.3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</row>
    <row r="520" spans="1:21" ht="14" x14ac:dyDescent="0.3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</row>
    <row r="521" spans="1:21" ht="14" x14ac:dyDescent="0.3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</row>
    <row r="522" spans="1:21" ht="14" x14ac:dyDescent="0.3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</row>
    <row r="523" spans="1:21" ht="14" x14ac:dyDescent="0.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</row>
    <row r="524" spans="1:21" ht="14" x14ac:dyDescent="0.3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</row>
    <row r="525" spans="1:21" ht="14" x14ac:dyDescent="0.3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</row>
    <row r="526" spans="1:21" ht="14" x14ac:dyDescent="0.3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</row>
    <row r="527" spans="1:21" ht="14" x14ac:dyDescent="0.3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</row>
    <row r="528" spans="1:21" ht="14" x14ac:dyDescent="0.3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</row>
    <row r="529" spans="1:21" ht="14" x14ac:dyDescent="0.3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</row>
    <row r="530" spans="1:21" ht="14" x14ac:dyDescent="0.3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</row>
    <row r="531" spans="1:21" ht="14" x14ac:dyDescent="0.3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</row>
    <row r="532" spans="1:21" ht="14" x14ac:dyDescent="0.3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</row>
    <row r="533" spans="1:21" ht="14" x14ac:dyDescent="0.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</row>
    <row r="534" spans="1:21" ht="14" x14ac:dyDescent="0.3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</row>
    <row r="535" spans="1:21" ht="14" x14ac:dyDescent="0.3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</row>
    <row r="536" spans="1:21" ht="14" x14ac:dyDescent="0.3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</row>
    <row r="537" spans="1:21" ht="14" x14ac:dyDescent="0.3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</row>
    <row r="538" spans="1:21" ht="14" x14ac:dyDescent="0.3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</row>
    <row r="539" spans="1:21" ht="14" x14ac:dyDescent="0.3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</row>
    <row r="540" spans="1:21" ht="14" x14ac:dyDescent="0.3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</row>
    <row r="541" spans="1:21" ht="14" x14ac:dyDescent="0.3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</row>
    <row r="542" spans="1:21" ht="14" x14ac:dyDescent="0.3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</row>
    <row r="543" spans="1:21" ht="14" x14ac:dyDescent="0.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</row>
    <row r="544" spans="1:21" ht="14" x14ac:dyDescent="0.3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</row>
    <row r="545" spans="1:21" ht="14" x14ac:dyDescent="0.3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</row>
    <row r="546" spans="1:21" ht="14" x14ac:dyDescent="0.3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</row>
    <row r="547" spans="1:21" ht="14" x14ac:dyDescent="0.3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</row>
    <row r="548" spans="1:21" ht="14" x14ac:dyDescent="0.3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</row>
    <row r="549" spans="1:21" ht="14" x14ac:dyDescent="0.3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</row>
    <row r="550" spans="1:21" ht="14" x14ac:dyDescent="0.3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</row>
    <row r="551" spans="1:21" ht="14" x14ac:dyDescent="0.3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</row>
    <row r="552" spans="1:21" ht="14" x14ac:dyDescent="0.3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</row>
    <row r="553" spans="1:21" ht="14" x14ac:dyDescent="0.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</row>
    <row r="554" spans="1:21" ht="14" x14ac:dyDescent="0.3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</row>
    <row r="555" spans="1:21" ht="14" x14ac:dyDescent="0.3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</row>
    <row r="556" spans="1:21" ht="14" x14ac:dyDescent="0.3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</row>
    <row r="557" spans="1:21" ht="14" x14ac:dyDescent="0.3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</row>
    <row r="558" spans="1:21" ht="14" x14ac:dyDescent="0.3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</row>
    <row r="559" spans="1:21" ht="14" x14ac:dyDescent="0.3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</row>
    <row r="560" spans="1:21" ht="14" x14ac:dyDescent="0.3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</row>
    <row r="561" spans="1:21" ht="14" x14ac:dyDescent="0.3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</row>
    <row r="562" spans="1:21" ht="14" x14ac:dyDescent="0.3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</row>
    <row r="563" spans="1:21" ht="14" x14ac:dyDescent="0.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</row>
    <row r="564" spans="1:21" ht="14" x14ac:dyDescent="0.3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</row>
    <row r="565" spans="1:21" ht="14" x14ac:dyDescent="0.3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</row>
    <row r="566" spans="1:21" ht="14" x14ac:dyDescent="0.3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</row>
    <row r="567" spans="1:21" ht="14" x14ac:dyDescent="0.3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</row>
    <row r="568" spans="1:21" ht="14" x14ac:dyDescent="0.3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</row>
    <row r="569" spans="1:21" ht="14" x14ac:dyDescent="0.3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</row>
    <row r="570" spans="1:21" ht="14" x14ac:dyDescent="0.3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</row>
    <row r="571" spans="1:21" ht="14" x14ac:dyDescent="0.3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</row>
    <row r="572" spans="1:21" ht="14" x14ac:dyDescent="0.3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</row>
    <row r="573" spans="1:21" ht="14" x14ac:dyDescent="0.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</row>
    <row r="574" spans="1:21" ht="14" x14ac:dyDescent="0.3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</row>
    <row r="575" spans="1:21" ht="14" x14ac:dyDescent="0.3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</row>
    <row r="576" spans="1:21" ht="14" x14ac:dyDescent="0.3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</row>
    <row r="577" spans="1:21" ht="14" x14ac:dyDescent="0.3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</row>
    <row r="578" spans="1:21" ht="14" x14ac:dyDescent="0.3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</row>
    <row r="579" spans="1:21" ht="14" x14ac:dyDescent="0.3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</row>
    <row r="580" spans="1:21" ht="14" x14ac:dyDescent="0.3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</row>
    <row r="581" spans="1:21" ht="14" x14ac:dyDescent="0.3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</row>
    <row r="582" spans="1:21" ht="14" x14ac:dyDescent="0.3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</row>
    <row r="583" spans="1:21" ht="14" x14ac:dyDescent="0.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</row>
    <row r="584" spans="1:21" ht="14" x14ac:dyDescent="0.3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</row>
    <row r="585" spans="1:21" ht="14" x14ac:dyDescent="0.3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</row>
    <row r="586" spans="1:21" ht="14" x14ac:dyDescent="0.3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</row>
    <row r="587" spans="1:21" ht="14" x14ac:dyDescent="0.3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</row>
    <row r="588" spans="1:21" ht="14" x14ac:dyDescent="0.3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</row>
    <row r="589" spans="1:21" ht="14" x14ac:dyDescent="0.3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</row>
    <row r="590" spans="1:21" ht="14" x14ac:dyDescent="0.3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</row>
    <row r="591" spans="1:21" ht="14" x14ac:dyDescent="0.3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</row>
    <row r="592" spans="1:21" ht="14" x14ac:dyDescent="0.3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</row>
    <row r="593" spans="1:21" ht="14" x14ac:dyDescent="0.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</row>
    <row r="594" spans="1:21" ht="14" x14ac:dyDescent="0.3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</row>
    <row r="595" spans="1:21" ht="14" x14ac:dyDescent="0.3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</row>
    <row r="596" spans="1:21" ht="14" x14ac:dyDescent="0.3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</row>
    <row r="597" spans="1:21" ht="14" x14ac:dyDescent="0.3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</row>
    <row r="598" spans="1:21" ht="14" x14ac:dyDescent="0.3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</row>
    <row r="599" spans="1:21" ht="14" x14ac:dyDescent="0.3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</row>
    <row r="600" spans="1:21" ht="14" x14ac:dyDescent="0.3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</row>
    <row r="601" spans="1:21" ht="14" x14ac:dyDescent="0.3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</row>
    <row r="602" spans="1:21" ht="14" x14ac:dyDescent="0.3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</row>
    <row r="603" spans="1:21" ht="14" x14ac:dyDescent="0.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</row>
    <row r="604" spans="1:21" ht="14" x14ac:dyDescent="0.3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</row>
    <row r="605" spans="1:21" ht="14" x14ac:dyDescent="0.3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</row>
    <row r="606" spans="1:21" ht="14" x14ac:dyDescent="0.3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</row>
    <row r="607" spans="1:21" ht="14" x14ac:dyDescent="0.3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</row>
    <row r="608" spans="1:21" ht="14" x14ac:dyDescent="0.3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</row>
    <row r="609" spans="1:21" ht="14" x14ac:dyDescent="0.3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</row>
    <row r="610" spans="1:21" ht="14" x14ac:dyDescent="0.3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</row>
    <row r="611" spans="1:21" ht="14" x14ac:dyDescent="0.3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</row>
    <row r="612" spans="1:21" ht="14" x14ac:dyDescent="0.3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</row>
    <row r="613" spans="1:21" ht="14" x14ac:dyDescent="0.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</row>
    <row r="614" spans="1:21" ht="14" x14ac:dyDescent="0.3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</row>
    <row r="615" spans="1:21" ht="14" x14ac:dyDescent="0.3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</row>
    <row r="616" spans="1:21" ht="14" x14ac:dyDescent="0.3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</row>
    <row r="617" spans="1:21" ht="14" x14ac:dyDescent="0.3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</row>
    <row r="618" spans="1:21" ht="14" x14ac:dyDescent="0.3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</row>
    <row r="619" spans="1:21" ht="14" x14ac:dyDescent="0.3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</row>
    <row r="620" spans="1:21" ht="14" x14ac:dyDescent="0.3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</row>
    <row r="621" spans="1:21" ht="14" x14ac:dyDescent="0.3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</row>
    <row r="622" spans="1:21" ht="14" x14ac:dyDescent="0.3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</row>
    <row r="623" spans="1:21" ht="14" x14ac:dyDescent="0.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</row>
    <row r="624" spans="1:21" ht="14" x14ac:dyDescent="0.3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</row>
    <row r="625" spans="1:21" ht="14" x14ac:dyDescent="0.3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</row>
    <row r="626" spans="1:21" ht="14" x14ac:dyDescent="0.3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</row>
    <row r="627" spans="1:21" ht="14" x14ac:dyDescent="0.3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</row>
    <row r="628" spans="1:21" ht="14" x14ac:dyDescent="0.3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</row>
    <row r="629" spans="1:21" ht="14" x14ac:dyDescent="0.3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</row>
    <row r="630" spans="1:21" ht="14" x14ac:dyDescent="0.3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</row>
    <row r="631" spans="1:21" ht="14" x14ac:dyDescent="0.3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</row>
    <row r="632" spans="1:21" ht="14" x14ac:dyDescent="0.3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</row>
    <row r="633" spans="1:21" ht="14" x14ac:dyDescent="0.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</row>
    <row r="634" spans="1:21" ht="14" x14ac:dyDescent="0.3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</row>
    <row r="635" spans="1:21" ht="14" x14ac:dyDescent="0.3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</row>
    <row r="636" spans="1:21" ht="14" x14ac:dyDescent="0.3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</row>
    <row r="637" spans="1:21" ht="14" x14ac:dyDescent="0.3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</row>
    <row r="638" spans="1:21" ht="14" x14ac:dyDescent="0.3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</row>
    <row r="639" spans="1:21" ht="14" x14ac:dyDescent="0.3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</row>
    <row r="640" spans="1:21" ht="14" x14ac:dyDescent="0.3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</row>
    <row r="641" spans="1:21" ht="14" x14ac:dyDescent="0.3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</row>
    <row r="642" spans="1:21" ht="14" x14ac:dyDescent="0.3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</row>
    <row r="643" spans="1:21" ht="14" x14ac:dyDescent="0.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</row>
    <row r="644" spans="1:21" ht="14" x14ac:dyDescent="0.3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</row>
    <row r="645" spans="1:21" ht="14" x14ac:dyDescent="0.3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</row>
    <row r="646" spans="1:21" ht="14" x14ac:dyDescent="0.3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</row>
    <row r="647" spans="1:21" ht="14" x14ac:dyDescent="0.3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</row>
    <row r="648" spans="1:21" ht="14" x14ac:dyDescent="0.3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</row>
    <row r="649" spans="1:21" ht="14" x14ac:dyDescent="0.3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</row>
    <row r="650" spans="1:21" ht="14" x14ac:dyDescent="0.3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</row>
    <row r="651" spans="1:21" ht="14" x14ac:dyDescent="0.3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</row>
    <row r="652" spans="1:21" ht="14" x14ac:dyDescent="0.3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</row>
    <row r="653" spans="1:21" ht="14" x14ac:dyDescent="0.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</row>
    <row r="654" spans="1:21" ht="14" x14ac:dyDescent="0.3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</row>
    <row r="655" spans="1:21" ht="14" x14ac:dyDescent="0.3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</row>
    <row r="656" spans="1:21" ht="14" x14ac:dyDescent="0.3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</row>
    <row r="657" spans="1:21" ht="14" x14ac:dyDescent="0.3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</row>
    <row r="658" spans="1:21" ht="14" x14ac:dyDescent="0.3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</row>
    <row r="659" spans="1:21" ht="14" x14ac:dyDescent="0.3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</row>
    <row r="660" spans="1:21" ht="14" x14ac:dyDescent="0.3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</row>
    <row r="661" spans="1:21" ht="14" x14ac:dyDescent="0.3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</row>
    <row r="662" spans="1:21" ht="14" x14ac:dyDescent="0.3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</row>
    <row r="663" spans="1:21" ht="14" x14ac:dyDescent="0.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</row>
    <row r="664" spans="1:21" ht="14" x14ac:dyDescent="0.3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</row>
    <row r="665" spans="1:21" ht="14" x14ac:dyDescent="0.3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</row>
    <row r="666" spans="1:21" ht="14" x14ac:dyDescent="0.3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</row>
    <row r="667" spans="1:21" ht="14" x14ac:dyDescent="0.3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</row>
    <row r="668" spans="1:21" ht="14" x14ac:dyDescent="0.3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</row>
    <row r="669" spans="1:21" ht="14" x14ac:dyDescent="0.3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</row>
    <row r="670" spans="1:21" ht="14" x14ac:dyDescent="0.3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</row>
    <row r="671" spans="1:21" ht="14" x14ac:dyDescent="0.3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</row>
    <row r="672" spans="1:21" ht="14" x14ac:dyDescent="0.3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</row>
    <row r="673" spans="1:21" ht="14" x14ac:dyDescent="0.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</row>
    <row r="674" spans="1:21" ht="14" x14ac:dyDescent="0.3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</row>
    <row r="675" spans="1:21" ht="14" x14ac:dyDescent="0.3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</row>
    <row r="676" spans="1:21" ht="14" x14ac:dyDescent="0.3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</row>
    <row r="677" spans="1:21" ht="14" x14ac:dyDescent="0.3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</row>
    <row r="678" spans="1:21" ht="14" x14ac:dyDescent="0.3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</row>
    <row r="679" spans="1:21" ht="14" x14ac:dyDescent="0.3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</row>
    <row r="680" spans="1:21" ht="14" x14ac:dyDescent="0.3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</row>
    <row r="681" spans="1:21" ht="14" x14ac:dyDescent="0.3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</row>
    <row r="682" spans="1:21" ht="14" x14ac:dyDescent="0.3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</row>
    <row r="683" spans="1:21" ht="14" x14ac:dyDescent="0.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</row>
    <row r="684" spans="1:21" ht="14" x14ac:dyDescent="0.3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</row>
    <row r="685" spans="1:21" ht="14" x14ac:dyDescent="0.3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</row>
    <row r="686" spans="1:21" ht="14" x14ac:dyDescent="0.3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</row>
    <row r="687" spans="1:21" ht="14" x14ac:dyDescent="0.3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</row>
    <row r="688" spans="1:21" ht="14" x14ac:dyDescent="0.3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</row>
    <row r="689" spans="1:21" ht="14" x14ac:dyDescent="0.3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</row>
    <row r="690" spans="1:21" ht="14" x14ac:dyDescent="0.3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</row>
    <row r="691" spans="1:21" ht="14" x14ac:dyDescent="0.3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</row>
    <row r="692" spans="1:21" ht="14" x14ac:dyDescent="0.3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</row>
    <row r="693" spans="1:21" ht="14" x14ac:dyDescent="0.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</row>
    <row r="694" spans="1:21" ht="14" x14ac:dyDescent="0.3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</row>
    <row r="695" spans="1:21" ht="14" x14ac:dyDescent="0.3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</row>
    <row r="696" spans="1:21" ht="14" x14ac:dyDescent="0.3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</row>
    <row r="697" spans="1:21" ht="14" x14ac:dyDescent="0.3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</row>
    <row r="698" spans="1:21" ht="14" x14ac:dyDescent="0.3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</row>
    <row r="699" spans="1:21" ht="14" x14ac:dyDescent="0.3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</row>
    <row r="700" spans="1:21" ht="14" x14ac:dyDescent="0.3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</row>
    <row r="701" spans="1:21" ht="14" x14ac:dyDescent="0.3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</row>
    <row r="702" spans="1:21" ht="14" x14ac:dyDescent="0.3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</row>
    <row r="703" spans="1:21" ht="14" x14ac:dyDescent="0.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</row>
    <row r="704" spans="1:21" ht="14" x14ac:dyDescent="0.3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</row>
    <row r="705" spans="1:21" ht="14" x14ac:dyDescent="0.3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</row>
    <row r="706" spans="1:21" ht="14" x14ac:dyDescent="0.3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</row>
    <row r="707" spans="1:21" ht="14" x14ac:dyDescent="0.3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</row>
    <row r="708" spans="1:21" ht="14" x14ac:dyDescent="0.3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</row>
    <row r="709" spans="1:21" ht="14" x14ac:dyDescent="0.3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</row>
    <row r="710" spans="1:21" ht="14" x14ac:dyDescent="0.3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</row>
    <row r="711" spans="1:21" ht="14" x14ac:dyDescent="0.3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</row>
    <row r="712" spans="1:21" ht="14" x14ac:dyDescent="0.3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</row>
    <row r="713" spans="1:21" ht="14" x14ac:dyDescent="0.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</row>
    <row r="714" spans="1:21" ht="14" x14ac:dyDescent="0.3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</row>
    <row r="715" spans="1:21" ht="14" x14ac:dyDescent="0.3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</row>
    <row r="716" spans="1:21" ht="14" x14ac:dyDescent="0.3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</row>
    <row r="717" spans="1:21" ht="14" x14ac:dyDescent="0.3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</row>
    <row r="718" spans="1:21" ht="14" x14ac:dyDescent="0.3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</row>
    <row r="719" spans="1:21" ht="14" x14ac:dyDescent="0.3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</row>
    <row r="720" spans="1:21" ht="14" x14ac:dyDescent="0.3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</row>
    <row r="721" spans="1:21" ht="14" x14ac:dyDescent="0.3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</row>
    <row r="722" spans="1:21" ht="14" x14ac:dyDescent="0.3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</row>
    <row r="723" spans="1:21" ht="14" x14ac:dyDescent="0.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</row>
    <row r="724" spans="1:21" ht="14" x14ac:dyDescent="0.3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</row>
    <row r="725" spans="1:21" ht="14" x14ac:dyDescent="0.3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</row>
    <row r="726" spans="1:21" ht="14" x14ac:dyDescent="0.3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</row>
    <row r="727" spans="1:21" ht="14" x14ac:dyDescent="0.3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</row>
    <row r="728" spans="1:21" ht="14" x14ac:dyDescent="0.3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</row>
    <row r="729" spans="1:21" ht="14" x14ac:dyDescent="0.3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</row>
    <row r="730" spans="1:21" ht="14" x14ac:dyDescent="0.3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</row>
    <row r="731" spans="1:21" ht="14" x14ac:dyDescent="0.3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</row>
    <row r="732" spans="1:21" ht="14" x14ac:dyDescent="0.3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</row>
    <row r="733" spans="1:21" ht="14" x14ac:dyDescent="0.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</row>
    <row r="734" spans="1:21" ht="14" x14ac:dyDescent="0.3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</row>
    <row r="735" spans="1:21" ht="14" x14ac:dyDescent="0.3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</row>
    <row r="736" spans="1:21" ht="14" x14ac:dyDescent="0.3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</row>
    <row r="737" spans="1:21" ht="14" x14ac:dyDescent="0.3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</row>
    <row r="738" spans="1:21" ht="14" x14ac:dyDescent="0.3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</row>
    <row r="739" spans="1:21" ht="14" x14ac:dyDescent="0.3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</row>
    <row r="740" spans="1:21" ht="14" x14ac:dyDescent="0.3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</row>
    <row r="741" spans="1:21" ht="14" x14ac:dyDescent="0.3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</row>
    <row r="742" spans="1:21" ht="14" x14ac:dyDescent="0.3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</row>
    <row r="743" spans="1:21" ht="14" x14ac:dyDescent="0.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</row>
    <row r="744" spans="1:21" ht="14" x14ac:dyDescent="0.3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</row>
    <row r="745" spans="1:21" ht="14" x14ac:dyDescent="0.3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</row>
    <row r="746" spans="1:21" ht="14" x14ac:dyDescent="0.3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</row>
    <row r="747" spans="1:21" ht="14" x14ac:dyDescent="0.3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</row>
    <row r="748" spans="1:21" ht="14" x14ac:dyDescent="0.3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</row>
    <row r="749" spans="1:21" ht="14" x14ac:dyDescent="0.3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</row>
    <row r="750" spans="1:21" ht="14" x14ac:dyDescent="0.3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</row>
    <row r="751" spans="1:21" ht="14" x14ac:dyDescent="0.3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</row>
    <row r="752" spans="1:21" ht="14" x14ac:dyDescent="0.3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</row>
    <row r="753" spans="1:21" ht="14" x14ac:dyDescent="0.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</row>
    <row r="754" spans="1:21" ht="14" x14ac:dyDescent="0.3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</row>
    <row r="755" spans="1:21" ht="14" x14ac:dyDescent="0.3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</row>
    <row r="756" spans="1:21" ht="14" x14ac:dyDescent="0.3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</row>
    <row r="757" spans="1:21" ht="14" x14ac:dyDescent="0.3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</row>
    <row r="758" spans="1:21" ht="14" x14ac:dyDescent="0.3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</row>
    <row r="759" spans="1:21" ht="14" x14ac:dyDescent="0.3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</row>
    <row r="760" spans="1:21" ht="14" x14ac:dyDescent="0.3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</row>
    <row r="761" spans="1:21" ht="14" x14ac:dyDescent="0.3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</row>
    <row r="762" spans="1:21" ht="14" x14ac:dyDescent="0.3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</row>
    <row r="763" spans="1:21" ht="14" x14ac:dyDescent="0.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</row>
    <row r="764" spans="1:21" ht="14" x14ac:dyDescent="0.3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</row>
    <row r="765" spans="1:21" ht="14" x14ac:dyDescent="0.3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</row>
    <row r="766" spans="1:21" ht="14" x14ac:dyDescent="0.3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</row>
    <row r="767" spans="1:21" ht="14" x14ac:dyDescent="0.3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</row>
    <row r="768" spans="1:21" ht="14" x14ac:dyDescent="0.3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</row>
    <row r="769" spans="1:21" ht="14" x14ac:dyDescent="0.3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</row>
    <row r="770" spans="1:21" ht="14" x14ac:dyDescent="0.3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</row>
    <row r="771" spans="1:21" ht="14" x14ac:dyDescent="0.3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</row>
    <row r="772" spans="1:21" ht="14" x14ac:dyDescent="0.3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</row>
    <row r="773" spans="1:21" ht="14" x14ac:dyDescent="0.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</row>
    <row r="774" spans="1:21" ht="14" x14ac:dyDescent="0.3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</row>
    <row r="775" spans="1:21" ht="14" x14ac:dyDescent="0.3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</row>
    <row r="776" spans="1:21" ht="14" x14ac:dyDescent="0.3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</row>
    <row r="777" spans="1:21" ht="14" x14ac:dyDescent="0.3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</row>
    <row r="778" spans="1:21" ht="14" x14ac:dyDescent="0.3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</row>
    <row r="779" spans="1:21" ht="14" x14ac:dyDescent="0.3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</row>
    <row r="780" spans="1:21" ht="14" x14ac:dyDescent="0.3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</row>
    <row r="781" spans="1:21" ht="14" x14ac:dyDescent="0.3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</row>
    <row r="782" spans="1:21" ht="14" x14ac:dyDescent="0.3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</row>
    <row r="783" spans="1:21" ht="14" x14ac:dyDescent="0.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</row>
    <row r="784" spans="1:21" ht="14" x14ac:dyDescent="0.3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</row>
    <row r="785" spans="1:21" ht="14" x14ac:dyDescent="0.3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</row>
    <row r="786" spans="1:21" ht="14" x14ac:dyDescent="0.3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</row>
    <row r="787" spans="1:21" ht="14" x14ac:dyDescent="0.3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</row>
    <row r="788" spans="1:21" ht="14" x14ac:dyDescent="0.3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</row>
    <row r="789" spans="1:21" ht="14" x14ac:dyDescent="0.3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</row>
    <row r="790" spans="1:21" ht="14" x14ac:dyDescent="0.3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</row>
    <row r="791" spans="1:21" ht="14" x14ac:dyDescent="0.3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</row>
    <row r="792" spans="1:21" ht="14" x14ac:dyDescent="0.3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</row>
    <row r="793" spans="1:21" ht="14" x14ac:dyDescent="0.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</row>
    <row r="794" spans="1:21" ht="14" x14ac:dyDescent="0.3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</row>
    <row r="795" spans="1:21" ht="14" x14ac:dyDescent="0.3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</row>
    <row r="796" spans="1:21" ht="14" x14ac:dyDescent="0.3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</row>
    <row r="797" spans="1:21" ht="14" x14ac:dyDescent="0.3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</row>
    <row r="798" spans="1:21" ht="14" x14ac:dyDescent="0.3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</row>
    <row r="799" spans="1:21" ht="14" x14ac:dyDescent="0.3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</row>
    <row r="800" spans="1:21" ht="14" x14ac:dyDescent="0.3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</row>
    <row r="801" spans="1:21" ht="14" x14ac:dyDescent="0.3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</row>
    <row r="802" spans="1:21" ht="14" x14ac:dyDescent="0.3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</row>
    <row r="803" spans="1:21" ht="14" x14ac:dyDescent="0.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</row>
    <row r="804" spans="1:21" ht="14" x14ac:dyDescent="0.3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</row>
    <row r="805" spans="1:21" ht="14" x14ac:dyDescent="0.3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</row>
    <row r="806" spans="1:21" ht="14" x14ac:dyDescent="0.3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</row>
    <row r="807" spans="1:21" ht="14" x14ac:dyDescent="0.3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</row>
    <row r="808" spans="1:21" ht="14" x14ac:dyDescent="0.3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</row>
    <row r="809" spans="1:21" ht="14" x14ac:dyDescent="0.3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</row>
    <row r="810" spans="1:21" ht="14" x14ac:dyDescent="0.3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</row>
    <row r="811" spans="1:21" ht="14" x14ac:dyDescent="0.3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</row>
    <row r="812" spans="1:21" ht="14" x14ac:dyDescent="0.3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</row>
    <row r="813" spans="1:21" ht="14" x14ac:dyDescent="0.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</row>
    <row r="814" spans="1:21" ht="14" x14ac:dyDescent="0.3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</row>
    <row r="815" spans="1:21" ht="14" x14ac:dyDescent="0.3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</row>
    <row r="816" spans="1:21" ht="14" x14ac:dyDescent="0.3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</row>
    <row r="817" spans="1:21" ht="14" x14ac:dyDescent="0.3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</row>
    <row r="818" spans="1:21" ht="14" x14ac:dyDescent="0.3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</row>
    <row r="819" spans="1:21" ht="14" x14ac:dyDescent="0.3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</row>
    <row r="820" spans="1:21" ht="14" x14ac:dyDescent="0.3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</row>
    <row r="821" spans="1:21" ht="14" x14ac:dyDescent="0.3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</row>
    <row r="822" spans="1:21" ht="14" x14ac:dyDescent="0.3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</row>
    <row r="823" spans="1:21" ht="14" x14ac:dyDescent="0.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</row>
    <row r="824" spans="1:21" ht="14" x14ac:dyDescent="0.3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</row>
    <row r="825" spans="1:21" ht="14" x14ac:dyDescent="0.3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</row>
    <row r="826" spans="1:21" ht="14" x14ac:dyDescent="0.3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</row>
    <row r="827" spans="1:21" ht="14" x14ac:dyDescent="0.3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</row>
    <row r="828" spans="1:21" ht="14" x14ac:dyDescent="0.3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</row>
    <row r="829" spans="1:21" ht="14" x14ac:dyDescent="0.3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</row>
    <row r="830" spans="1:21" ht="14" x14ac:dyDescent="0.3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</row>
    <row r="831" spans="1:21" ht="14" x14ac:dyDescent="0.3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</row>
    <row r="832" spans="1:21" ht="14" x14ac:dyDescent="0.3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</row>
    <row r="833" spans="1:21" ht="14" x14ac:dyDescent="0.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</row>
    <row r="834" spans="1:21" ht="14" x14ac:dyDescent="0.3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</row>
    <row r="835" spans="1:21" ht="14" x14ac:dyDescent="0.3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</row>
    <row r="836" spans="1:21" ht="14" x14ac:dyDescent="0.3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</row>
    <row r="837" spans="1:21" ht="14" x14ac:dyDescent="0.3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</row>
    <row r="838" spans="1:21" ht="14" x14ac:dyDescent="0.3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</row>
    <row r="839" spans="1:21" ht="14" x14ac:dyDescent="0.3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</row>
    <row r="840" spans="1:21" ht="14" x14ac:dyDescent="0.3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</row>
    <row r="841" spans="1:21" ht="14" x14ac:dyDescent="0.3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</row>
    <row r="842" spans="1:21" ht="14" x14ac:dyDescent="0.3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</row>
    <row r="843" spans="1:21" ht="14" x14ac:dyDescent="0.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</row>
    <row r="844" spans="1:21" ht="14" x14ac:dyDescent="0.3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</row>
    <row r="845" spans="1:21" ht="14" x14ac:dyDescent="0.3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</row>
    <row r="846" spans="1:21" ht="14" x14ac:dyDescent="0.3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</row>
    <row r="847" spans="1:21" ht="14" x14ac:dyDescent="0.3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</row>
    <row r="848" spans="1:21" ht="14" x14ac:dyDescent="0.3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</row>
    <row r="849" spans="1:21" ht="14" x14ac:dyDescent="0.3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</row>
    <row r="850" spans="1:21" ht="14" x14ac:dyDescent="0.3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</row>
    <row r="851" spans="1:21" ht="14" x14ac:dyDescent="0.3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</row>
    <row r="852" spans="1:21" ht="14" x14ac:dyDescent="0.3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</row>
    <row r="853" spans="1:21" ht="14" x14ac:dyDescent="0.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</row>
    <row r="854" spans="1:21" ht="14" x14ac:dyDescent="0.3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</row>
    <row r="855" spans="1:21" ht="14" x14ac:dyDescent="0.3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</row>
    <row r="856" spans="1:21" ht="14" x14ac:dyDescent="0.3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</row>
    <row r="857" spans="1:21" ht="14" x14ac:dyDescent="0.3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</row>
    <row r="858" spans="1:21" ht="14" x14ac:dyDescent="0.3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</row>
    <row r="859" spans="1:21" ht="14" x14ac:dyDescent="0.3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</row>
    <row r="860" spans="1:21" ht="14" x14ac:dyDescent="0.3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</row>
    <row r="861" spans="1:21" ht="14" x14ac:dyDescent="0.3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</row>
    <row r="862" spans="1:21" ht="14" x14ac:dyDescent="0.3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</row>
    <row r="863" spans="1:21" ht="14" x14ac:dyDescent="0.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</row>
    <row r="864" spans="1:21" ht="14" x14ac:dyDescent="0.3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</row>
    <row r="865" spans="1:21" ht="14" x14ac:dyDescent="0.3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</row>
    <row r="866" spans="1:21" ht="14" x14ac:dyDescent="0.3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</row>
    <row r="867" spans="1:21" ht="14" x14ac:dyDescent="0.3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</row>
    <row r="868" spans="1:21" ht="14" x14ac:dyDescent="0.3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</row>
    <row r="869" spans="1:21" ht="14" x14ac:dyDescent="0.3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</row>
    <row r="870" spans="1:21" ht="14" x14ac:dyDescent="0.3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</row>
    <row r="871" spans="1:21" ht="14" x14ac:dyDescent="0.3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</row>
    <row r="872" spans="1:21" ht="14" x14ac:dyDescent="0.3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</row>
    <row r="873" spans="1:21" ht="14" x14ac:dyDescent="0.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</row>
    <row r="874" spans="1:21" ht="14" x14ac:dyDescent="0.3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</row>
    <row r="875" spans="1:21" ht="14" x14ac:dyDescent="0.3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</row>
    <row r="876" spans="1:21" ht="14" x14ac:dyDescent="0.3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</row>
    <row r="877" spans="1:21" ht="14" x14ac:dyDescent="0.3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</row>
    <row r="878" spans="1:21" ht="14" x14ac:dyDescent="0.3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</row>
    <row r="879" spans="1:21" ht="14" x14ac:dyDescent="0.3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</row>
    <row r="880" spans="1:21" ht="14" x14ac:dyDescent="0.3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</row>
    <row r="881" spans="1:21" ht="14" x14ac:dyDescent="0.3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</row>
    <row r="882" spans="1:21" ht="14" x14ac:dyDescent="0.3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</row>
    <row r="883" spans="1:21" ht="14" x14ac:dyDescent="0.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</row>
    <row r="884" spans="1:21" ht="14" x14ac:dyDescent="0.3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</row>
    <row r="885" spans="1:21" ht="14" x14ac:dyDescent="0.3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</row>
    <row r="886" spans="1:21" ht="14" x14ac:dyDescent="0.3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</row>
    <row r="887" spans="1:21" ht="14" x14ac:dyDescent="0.3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</row>
    <row r="888" spans="1:21" ht="14" x14ac:dyDescent="0.3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</row>
    <row r="889" spans="1:21" ht="14" x14ac:dyDescent="0.3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</row>
    <row r="890" spans="1:21" ht="14" x14ac:dyDescent="0.3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</row>
    <row r="891" spans="1:21" ht="14" x14ac:dyDescent="0.3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</row>
    <row r="892" spans="1:21" ht="14" x14ac:dyDescent="0.3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</row>
    <row r="893" spans="1:21" ht="14" x14ac:dyDescent="0.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</row>
    <row r="894" spans="1:21" ht="14" x14ac:dyDescent="0.3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</row>
    <row r="895" spans="1:21" ht="14" x14ac:dyDescent="0.3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</row>
    <row r="896" spans="1:21" ht="14" x14ac:dyDescent="0.3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</row>
    <row r="897" spans="1:21" ht="14" x14ac:dyDescent="0.3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</row>
    <row r="898" spans="1:21" ht="14" x14ac:dyDescent="0.3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</row>
    <row r="899" spans="1:21" ht="14" x14ac:dyDescent="0.3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</row>
    <row r="900" spans="1:21" ht="14" x14ac:dyDescent="0.3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</row>
    <row r="901" spans="1:21" ht="14" x14ac:dyDescent="0.3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</row>
    <row r="902" spans="1:21" ht="14" x14ac:dyDescent="0.3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</row>
    <row r="903" spans="1:21" ht="14" x14ac:dyDescent="0.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</row>
    <row r="904" spans="1:21" ht="14" x14ac:dyDescent="0.3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</row>
    <row r="905" spans="1:21" ht="14" x14ac:dyDescent="0.3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</row>
    <row r="906" spans="1:21" ht="14" x14ac:dyDescent="0.3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</row>
    <row r="907" spans="1:21" ht="14" x14ac:dyDescent="0.3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</row>
    <row r="908" spans="1:21" ht="14" x14ac:dyDescent="0.3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</row>
    <row r="909" spans="1:21" ht="14" x14ac:dyDescent="0.3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</row>
    <row r="910" spans="1:21" ht="14" x14ac:dyDescent="0.3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</row>
    <row r="911" spans="1:21" ht="14" x14ac:dyDescent="0.3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</row>
    <row r="912" spans="1:21" ht="14" x14ac:dyDescent="0.3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</row>
    <row r="913" spans="1:21" ht="14" x14ac:dyDescent="0.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</row>
    <row r="914" spans="1:21" ht="14" x14ac:dyDescent="0.3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</row>
    <row r="915" spans="1:21" ht="14" x14ac:dyDescent="0.3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</row>
    <row r="916" spans="1:21" ht="14" x14ac:dyDescent="0.3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</row>
    <row r="917" spans="1:21" ht="14" x14ac:dyDescent="0.3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</row>
    <row r="918" spans="1:21" ht="14" x14ac:dyDescent="0.3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</row>
    <row r="919" spans="1:21" ht="14" x14ac:dyDescent="0.3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</row>
    <row r="920" spans="1:21" ht="14" x14ac:dyDescent="0.3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</row>
    <row r="921" spans="1:21" ht="14" x14ac:dyDescent="0.3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</row>
    <row r="922" spans="1:21" ht="14" x14ac:dyDescent="0.3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</row>
    <row r="923" spans="1:21" ht="14" x14ac:dyDescent="0.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</row>
    <row r="924" spans="1:21" ht="14" x14ac:dyDescent="0.3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</row>
    <row r="925" spans="1:21" ht="14" x14ac:dyDescent="0.3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</row>
    <row r="926" spans="1:21" ht="14" x14ac:dyDescent="0.3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</row>
    <row r="927" spans="1:21" ht="14" x14ac:dyDescent="0.3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</row>
    <row r="928" spans="1:21" ht="14" x14ac:dyDescent="0.3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</row>
    <row r="929" spans="1:21" ht="14" x14ac:dyDescent="0.3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</row>
    <row r="930" spans="1:21" ht="14" x14ac:dyDescent="0.3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</row>
    <row r="931" spans="1:21" ht="14" x14ac:dyDescent="0.3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</row>
    <row r="932" spans="1:21" ht="14" x14ac:dyDescent="0.3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</row>
    <row r="933" spans="1:21" ht="14" x14ac:dyDescent="0.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</row>
    <row r="934" spans="1:21" ht="14" x14ac:dyDescent="0.3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</row>
    <row r="935" spans="1:21" ht="14" x14ac:dyDescent="0.3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</row>
    <row r="936" spans="1:21" ht="14" x14ac:dyDescent="0.3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</row>
    <row r="937" spans="1:21" ht="14" x14ac:dyDescent="0.3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</row>
    <row r="938" spans="1:21" ht="14" x14ac:dyDescent="0.3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</row>
    <row r="939" spans="1:21" ht="14" x14ac:dyDescent="0.3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</row>
    <row r="940" spans="1:21" ht="14" x14ac:dyDescent="0.3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</row>
    <row r="941" spans="1:21" ht="14" x14ac:dyDescent="0.3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</row>
    <row r="942" spans="1:21" ht="14" x14ac:dyDescent="0.3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</row>
    <row r="943" spans="1:21" ht="14" x14ac:dyDescent="0.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</row>
    <row r="944" spans="1:21" ht="14" x14ac:dyDescent="0.3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</row>
    <row r="945" spans="1:21" ht="14" x14ac:dyDescent="0.3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</row>
    <row r="946" spans="1:21" ht="14" x14ac:dyDescent="0.3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</row>
    <row r="947" spans="1:21" ht="14" x14ac:dyDescent="0.3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</row>
    <row r="948" spans="1:21" ht="14" x14ac:dyDescent="0.3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</row>
    <row r="949" spans="1:21" ht="14" x14ac:dyDescent="0.3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</row>
    <row r="950" spans="1:21" ht="14" x14ac:dyDescent="0.3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</row>
    <row r="951" spans="1:21" ht="14" x14ac:dyDescent="0.3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</row>
    <row r="952" spans="1:21" ht="14" x14ac:dyDescent="0.3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</row>
    <row r="953" spans="1:21" ht="14" x14ac:dyDescent="0.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</row>
    <row r="954" spans="1:21" ht="14" x14ac:dyDescent="0.3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</row>
    <row r="955" spans="1:21" ht="14" x14ac:dyDescent="0.3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</row>
    <row r="956" spans="1:21" ht="14" x14ac:dyDescent="0.3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</row>
    <row r="957" spans="1:21" ht="14" x14ac:dyDescent="0.3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</row>
    <row r="958" spans="1:21" ht="14" x14ac:dyDescent="0.3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</row>
    <row r="959" spans="1:21" ht="14" x14ac:dyDescent="0.3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</row>
    <row r="960" spans="1:21" ht="14" x14ac:dyDescent="0.3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</row>
    <row r="961" spans="1:21" ht="14" x14ac:dyDescent="0.3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</row>
    <row r="962" spans="1:21" ht="14" x14ac:dyDescent="0.3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</row>
    <row r="963" spans="1:21" ht="14" x14ac:dyDescent="0.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</row>
    <row r="964" spans="1:21" ht="14" x14ac:dyDescent="0.3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</row>
    <row r="965" spans="1:21" ht="14" x14ac:dyDescent="0.3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</row>
    <row r="966" spans="1:21" ht="14" x14ac:dyDescent="0.3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</row>
    <row r="967" spans="1:21" ht="14" x14ac:dyDescent="0.3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</row>
    <row r="968" spans="1:21" ht="14" x14ac:dyDescent="0.3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</row>
    <row r="969" spans="1:21" ht="14" x14ac:dyDescent="0.3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</row>
    <row r="970" spans="1:21" ht="14" x14ac:dyDescent="0.3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</row>
    <row r="971" spans="1:21" ht="14" x14ac:dyDescent="0.3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</row>
    <row r="972" spans="1:21" ht="14" x14ac:dyDescent="0.3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</row>
    <row r="973" spans="1:21" ht="14" x14ac:dyDescent="0.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</row>
    <row r="974" spans="1:21" ht="14" x14ac:dyDescent="0.3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</row>
    <row r="975" spans="1:21" ht="14" x14ac:dyDescent="0.3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</row>
    <row r="976" spans="1:21" ht="14" x14ac:dyDescent="0.3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</row>
    <row r="977" spans="1:21" ht="14" x14ac:dyDescent="0.3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</row>
    <row r="978" spans="1:21" ht="14" x14ac:dyDescent="0.3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</row>
    <row r="979" spans="1:21" ht="14" x14ac:dyDescent="0.3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</row>
    <row r="980" spans="1:21" ht="14" x14ac:dyDescent="0.3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</row>
    <row r="981" spans="1:21" ht="14" x14ac:dyDescent="0.3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</row>
    <row r="982" spans="1:21" ht="14" x14ac:dyDescent="0.3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</row>
    <row r="983" spans="1:21" ht="14" x14ac:dyDescent="0.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</row>
    <row r="984" spans="1:21" ht="14" x14ac:dyDescent="0.3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</row>
    <row r="985" spans="1:21" ht="14" x14ac:dyDescent="0.3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</row>
    <row r="986" spans="1:21" ht="14" x14ac:dyDescent="0.3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</row>
    <row r="987" spans="1:21" ht="14" x14ac:dyDescent="0.3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</row>
    <row r="988" spans="1:21" ht="14" x14ac:dyDescent="0.3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</row>
    <row r="989" spans="1:21" ht="14" x14ac:dyDescent="0.3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</row>
    <row r="990" spans="1:21" ht="14" x14ac:dyDescent="0.3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</row>
    <row r="991" spans="1:21" ht="14" x14ac:dyDescent="0.3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</row>
    <row r="992" spans="1:21" ht="14" x14ac:dyDescent="0.3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</row>
    <row r="993" spans="1:21" ht="14" x14ac:dyDescent="0.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</row>
    <row r="994" spans="1:21" ht="14" x14ac:dyDescent="0.3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</row>
    <row r="995" spans="1:21" ht="14" x14ac:dyDescent="0.3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</row>
    <row r="996" spans="1:21" ht="14" x14ac:dyDescent="0.3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</row>
    <row r="997" spans="1:21" ht="14" x14ac:dyDescent="0.3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</row>
    <row r="998" spans="1:21" ht="14" x14ac:dyDescent="0.3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</row>
    <row r="999" spans="1:21" ht="14" x14ac:dyDescent="0.3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</row>
    <row r="1000" spans="1:21" ht="14" x14ac:dyDescent="0.3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</row>
    <row r="1001" spans="1:21" ht="14" x14ac:dyDescent="0.3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</row>
    <row r="1002" spans="1:21" ht="14" x14ac:dyDescent="0.3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</row>
    <row r="1003" spans="1:21" ht="14" x14ac:dyDescent="0.3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</row>
    <row r="1004" spans="1:21" ht="14" x14ac:dyDescent="0.3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</row>
    <row r="1005" spans="1:21" ht="14" x14ac:dyDescent="0.3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</row>
    <row r="1006" spans="1:21" ht="14" x14ac:dyDescent="0.3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</row>
    <row r="1007" spans="1:21" ht="14" x14ac:dyDescent="0.3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</row>
    <row r="1008" spans="1:21" ht="14" x14ac:dyDescent="0.3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</row>
    <row r="1009" spans="1:21" ht="14" x14ac:dyDescent="0.3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</row>
    <row r="1010" spans="1:21" ht="14" x14ac:dyDescent="0.3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</row>
    <row r="1011" spans="1:21" ht="14" x14ac:dyDescent="0.3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</row>
    <row r="1012" spans="1:21" ht="14" x14ac:dyDescent="0.3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</row>
    <row r="1013" spans="1:21" ht="14" x14ac:dyDescent="0.3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</row>
    <row r="1014" spans="1:21" ht="14" x14ac:dyDescent="0.3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</row>
    <row r="1015" spans="1:21" ht="14" x14ac:dyDescent="0.3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</row>
    <row r="1016" spans="1:21" ht="14" x14ac:dyDescent="0.3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</row>
    <row r="1017" spans="1:21" ht="14" x14ac:dyDescent="0.3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</row>
    <row r="1018" spans="1:21" ht="14" x14ac:dyDescent="0.3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</row>
    <row r="1019" spans="1:21" ht="14" x14ac:dyDescent="0.3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</row>
    <row r="1020" spans="1:21" ht="14" x14ac:dyDescent="0.3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</row>
    <row r="1021" spans="1:21" ht="14" x14ac:dyDescent="0.3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</row>
    <row r="1022" spans="1:21" ht="14" x14ac:dyDescent="0.3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</row>
    <row r="1023" spans="1:21" ht="14" x14ac:dyDescent="0.3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</row>
    <row r="1024" spans="1:21" ht="14" x14ac:dyDescent="0.3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</row>
    <row r="1025" spans="1:21" ht="14" x14ac:dyDescent="0.3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</row>
    <row r="1026" spans="1:21" ht="14" x14ac:dyDescent="0.3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</row>
    <row r="1027" spans="1:21" ht="14" x14ac:dyDescent="0.3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</row>
    <row r="1028" spans="1:21" ht="14" x14ac:dyDescent="0.3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</row>
    <row r="1029" spans="1:21" ht="14" x14ac:dyDescent="0.3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</row>
    <row r="1030" spans="1:21" ht="14" x14ac:dyDescent="0.3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</row>
    <row r="1031" spans="1:21" ht="14" x14ac:dyDescent="0.3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</row>
    <row r="1032" spans="1:21" ht="14" x14ac:dyDescent="0.3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</row>
    <row r="1033" spans="1:21" ht="14" x14ac:dyDescent="0.3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</row>
    <row r="1034" spans="1:21" ht="14" x14ac:dyDescent="0.3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</row>
    <row r="1035" spans="1:21" ht="14" x14ac:dyDescent="0.3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</row>
    <row r="1036" spans="1:21" ht="14" x14ac:dyDescent="0.3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</row>
    <row r="1037" spans="1:21" ht="14" x14ac:dyDescent="0.3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</row>
    <row r="1038" spans="1:21" ht="14" x14ac:dyDescent="0.3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</row>
    <row r="1039" spans="1:21" ht="14" x14ac:dyDescent="0.3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</row>
    <row r="1040" spans="1:21" ht="14" x14ac:dyDescent="0.3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</row>
    <row r="1041" spans="1:21" ht="14" x14ac:dyDescent="0.3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</row>
    <row r="1042" spans="1:21" ht="14" x14ac:dyDescent="0.3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</row>
    <row r="1043" spans="1:21" ht="14" x14ac:dyDescent="0.3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</row>
    <row r="1044" spans="1:21" ht="14" x14ac:dyDescent="0.3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</row>
    <row r="1045" spans="1:21" ht="14" x14ac:dyDescent="0.3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</row>
    <row r="1046" spans="1:21" ht="14" x14ac:dyDescent="0.3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</row>
    <row r="1047" spans="1:21" ht="14" x14ac:dyDescent="0.3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</row>
    <row r="1048" spans="1:21" ht="14" x14ac:dyDescent="0.3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</row>
    <row r="1049" spans="1:21" ht="14" x14ac:dyDescent="0.3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</row>
    <row r="1050" spans="1:21" ht="14" x14ac:dyDescent="0.3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</row>
    <row r="1051" spans="1:21" ht="14" x14ac:dyDescent="0.3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</row>
    <row r="1052" spans="1:21" ht="14" x14ac:dyDescent="0.3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22"/>
      <c r="M1052" s="22"/>
      <c r="N1052" s="22"/>
      <c r="O1052" s="22"/>
      <c r="P1052" s="22"/>
      <c r="Q1052" s="22"/>
      <c r="R1052" s="22"/>
      <c r="S1052" s="22"/>
      <c r="T1052" s="22"/>
      <c r="U1052" s="22"/>
    </row>
    <row r="1053" spans="1:21" ht="14" x14ac:dyDescent="0.3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22"/>
      <c r="M1053" s="22"/>
      <c r="N1053" s="22"/>
      <c r="O1053" s="22"/>
      <c r="P1053" s="22"/>
      <c r="Q1053" s="22"/>
      <c r="R1053" s="22"/>
      <c r="S1053" s="22"/>
      <c r="T1053" s="22"/>
      <c r="U1053" s="22"/>
    </row>
    <row r="1054" spans="1:21" ht="14" x14ac:dyDescent="0.3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22"/>
      <c r="M1054" s="22"/>
      <c r="N1054" s="22"/>
      <c r="O1054" s="22"/>
      <c r="P1054" s="22"/>
      <c r="Q1054" s="22"/>
      <c r="R1054" s="22"/>
      <c r="S1054" s="22"/>
      <c r="T1054" s="22"/>
      <c r="U1054" s="22"/>
    </row>
    <row r="1055" spans="1:21" ht="14" x14ac:dyDescent="0.3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22"/>
      <c r="M1055" s="22"/>
      <c r="N1055" s="22"/>
      <c r="O1055" s="22"/>
      <c r="P1055" s="22"/>
      <c r="Q1055" s="22"/>
      <c r="R1055" s="22"/>
      <c r="S1055" s="22"/>
      <c r="T1055" s="22"/>
      <c r="U1055" s="22"/>
    </row>
    <row r="1056" spans="1:21" ht="14" x14ac:dyDescent="0.3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22"/>
      <c r="M1056" s="22"/>
      <c r="N1056" s="22"/>
      <c r="O1056" s="22"/>
      <c r="P1056" s="22"/>
      <c r="Q1056" s="22"/>
      <c r="R1056" s="22"/>
      <c r="S1056" s="22"/>
      <c r="T1056" s="22"/>
      <c r="U1056" s="2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9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ColWidth="12.54296875" defaultRowHeight="15.75" customHeight="1" x14ac:dyDescent="0.25"/>
  <cols>
    <col min="1" max="1" width="27.453125" customWidth="1"/>
    <col min="7" max="7" width="14.1796875" customWidth="1"/>
    <col min="9" max="9" width="24.54296875" bestFit="1" customWidth="1"/>
  </cols>
  <sheetData>
    <row r="1" spans="1:25" ht="15.75" customHeight="1" x14ac:dyDescent="0.3">
      <c r="A1" s="181"/>
      <c r="B1" s="182" t="s">
        <v>20</v>
      </c>
      <c r="C1" s="182" t="s">
        <v>21</v>
      </c>
      <c r="D1" s="182" t="s">
        <v>22</v>
      </c>
      <c r="E1" s="182" t="s">
        <v>23</v>
      </c>
      <c r="F1" s="182" t="s">
        <v>24</v>
      </c>
      <c r="G1" s="182" t="s">
        <v>311</v>
      </c>
      <c r="H1" s="19"/>
      <c r="I1" s="19"/>
      <c r="J1" s="1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3">
      <c r="A2" s="34" t="s">
        <v>312</v>
      </c>
      <c r="B2" s="183"/>
      <c r="C2" s="183"/>
      <c r="D2" s="183"/>
      <c r="E2" s="183"/>
      <c r="F2" s="183"/>
      <c r="G2" s="36"/>
      <c r="H2" s="19"/>
      <c r="I2" s="225"/>
      <c r="J2" s="22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3">
      <c r="A3" s="37"/>
      <c r="B3" s="184"/>
      <c r="C3" s="184"/>
      <c r="D3" s="184"/>
      <c r="E3" s="184"/>
      <c r="F3" s="184"/>
      <c r="G3" s="33"/>
      <c r="H3" s="19"/>
      <c r="I3" s="34" t="s">
        <v>313</v>
      </c>
      <c r="J3" s="210">
        <f>FS!F100+FS!F101+FS!F110+FS!F113</f>
        <v>6655784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3">
      <c r="A4" s="7" t="s">
        <v>314</v>
      </c>
      <c r="B4" s="89">
        <f ca="1">FS!G161</f>
        <v>5009838.6230292581</v>
      </c>
      <c r="C4" s="89">
        <f ca="1">FS!H161</f>
        <v>7519841.2434664499</v>
      </c>
      <c r="D4" s="89">
        <f ca="1">FS!I161</f>
        <v>5739479.421813325</v>
      </c>
      <c r="E4" s="89">
        <f ca="1">FS!J161</f>
        <v>5466883.5725495592</v>
      </c>
      <c r="F4" s="89">
        <f ca="1">FS!K161</f>
        <v>4962035.1397239417</v>
      </c>
      <c r="G4" s="33"/>
      <c r="H4" s="19"/>
      <c r="I4" s="93" t="s">
        <v>315</v>
      </c>
      <c r="J4" s="210">
        <f>FS!F82</f>
        <v>101732369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" x14ac:dyDescent="0.3">
      <c r="A5" s="7" t="s">
        <v>316</v>
      </c>
      <c r="B5" s="89">
        <f>FS!G162+FS!G163+FS!G164</f>
        <v>2664712.543557697</v>
      </c>
      <c r="C5" s="89">
        <f>FS!H162+FS!H163+FS!H164</f>
        <v>2918098.3889027163</v>
      </c>
      <c r="D5" s="89">
        <f>FS!I162+FS!I163+FS!I164</f>
        <v>3205774.0166073064</v>
      </c>
      <c r="E5" s="89">
        <f>FS!J162+FS!J163+FS!J164</f>
        <v>3532379.8203142029</v>
      </c>
      <c r="F5" s="89">
        <f>FS!K162+FS!K163+FS!K164</f>
        <v>3903184.1723722718</v>
      </c>
      <c r="G5" s="33"/>
      <c r="H5" s="19"/>
      <c r="I5" s="7" t="s">
        <v>317</v>
      </c>
      <c r="J5" s="211">
        <f>J3/J4</f>
        <v>6.5424447158996174E-2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" x14ac:dyDescent="0.3">
      <c r="A6" s="7" t="s">
        <v>318</v>
      </c>
      <c r="B6" s="89">
        <f>FS!G176</f>
        <v>-5100682.2430101475</v>
      </c>
      <c r="C6" s="89">
        <f>FS!H176</f>
        <v>-5348220.0538411075</v>
      </c>
      <c r="D6" s="89">
        <f>FS!I176</f>
        <v>-6071557.9575713407</v>
      </c>
      <c r="E6" s="89">
        <f>FS!J176</f>
        <v>-6892784.2810886549</v>
      </c>
      <c r="F6" s="89">
        <f>FS!K176</f>
        <v>-7825146.1426195102</v>
      </c>
      <c r="G6" s="33"/>
      <c r="H6" s="19"/>
      <c r="I6" s="7" t="s">
        <v>319</v>
      </c>
      <c r="J6" s="211">
        <f>1-J5</f>
        <v>0.9345755528410038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" x14ac:dyDescent="0.3">
      <c r="A7" s="7" t="s">
        <v>320</v>
      </c>
      <c r="B7" s="89">
        <f ca="1">FS!G170</f>
        <v>-6380197.4496936277</v>
      </c>
      <c r="C7" s="89">
        <f ca="1">FS!H170</f>
        <v>-7459896.2637570379</v>
      </c>
      <c r="D7" s="89">
        <f ca="1">FS!I170</f>
        <v>-8808199.0925565604</v>
      </c>
      <c r="E7" s="89">
        <f ca="1">FS!J170</f>
        <v>-10774058.944829844</v>
      </c>
      <c r="F7" s="89">
        <f ca="1">FS!K170</f>
        <v>-13175864.675658407</v>
      </c>
      <c r="G7" s="33"/>
      <c r="H7" s="19"/>
      <c r="I7" s="7" t="s">
        <v>321</v>
      </c>
      <c r="J7" s="212">
        <v>0.1517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" x14ac:dyDescent="0.3">
      <c r="A8" s="7" t="s">
        <v>322</v>
      </c>
      <c r="B8" s="89">
        <f>FS!G166+FS!G167</f>
        <v>22203649.955408022</v>
      </c>
      <c r="C8" s="89">
        <f>FS!H166+FS!H167</f>
        <v>8010397.3614534289</v>
      </c>
      <c r="D8" s="89">
        <f>FS!I166+FS!I167</f>
        <v>10898005.298892885</v>
      </c>
      <c r="E8" s="89">
        <f>FS!J166+FS!J167</f>
        <v>13976193.616360039</v>
      </c>
      <c r="F8" s="89">
        <f>FS!K166+FS!K167</f>
        <v>17207903.737073123</v>
      </c>
      <c r="G8" s="33"/>
      <c r="H8" s="19"/>
      <c r="I8" s="7" t="s">
        <v>323</v>
      </c>
      <c r="J8" s="212">
        <v>7.4999999999999997E-2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3">
      <c r="A9" s="93" t="s">
        <v>0</v>
      </c>
      <c r="B9" s="185">
        <f ca="1">SUM(B4:B8)</f>
        <v>18397321.429291204</v>
      </c>
      <c r="C9" s="185">
        <f ca="1">SUM(C4:C8)</f>
        <v>5640220.6762244496</v>
      </c>
      <c r="D9" s="185">
        <f ca="1">SUM(D4:D8)</f>
        <v>4963501.6871856153</v>
      </c>
      <c r="E9" s="185">
        <f ca="1">SUM(E4:E8)</f>
        <v>5308613.7833053023</v>
      </c>
      <c r="F9" s="185">
        <f ca="1">SUM(F4:F8)</f>
        <v>5072112.2308914214</v>
      </c>
      <c r="G9" s="186">
        <f ca="1">F9*(1+J14)/(J13-J14)</f>
        <v>26618542.024148572</v>
      </c>
      <c r="H9" s="33"/>
      <c r="I9" s="45" t="s">
        <v>324</v>
      </c>
      <c r="J9" s="211">
        <v>0.28999999999999998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" x14ac:dyDescent="0.3">
      <c r="A10" s="1"/>
      <c r="B10" s="110"/>
      <c r="C10" s="110"/>
      <c r="D10" s="110"/>
      <c r="E10" s="110"/>
      <c r="F10" s="110"/>
      <c r="G10" s="33"/>
      <c r="H10" s="33"/>
      <c r="I10" s="45" t="s">
        <v>325</v>
      </c>
      <c r="J10" s="213">
        <v>1.24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3">
      <c r="A11" s="19"/>
      <c r="B11" s="184"/>
      <c r="C11" s="184"/>
      <c r="D11" s="184"/>
      <c r="E11" s="184"/>
      <c r="F11" s="184"/>
      <c r="G11" s="33"/>
      <c r="H11" s="19"/>
      <c r="I11" s="93" t="s">
        <v>326</v>
      </c>
      <c r="J11" s="214">
        <f>J7+(J8*J10)</f>
        <v>0.2447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3">
      <c r="A12" s="45" t="s">
        <v>291</v>
      </c>
      <c r="B12" s="89">
        <f>FS!G169</f>
        <v>-825559.5</v>
      </c>
      <c r="C12" s="89">
        <f>FS!H169</f>
        <v>-825559.5</v>
      </c>
      <c r="D12" s="89">
        <f>FS!I169</f>
        <v>-825559.5</v>
      </c>
      <c r="E12" s="89">
        <f>FS!J169</f>
        <v>-825559.5</v>
      </c>
      <c r="F12" s="89">
        <f>FS!K169</f>
        <v>-825559.5</v>
      </c>
      <c r="G12" s="33"/>
      <c r="H12" s="19"/>
      <c r="I12" s="93" t="s">
        <v>327</v>
      </c>
      <c r="J12" s="214">
        <f>-FS!F15/J3</f>
        <v>0.20407092537858801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3">
      <c r="A13" s="45" t="s">
        <v>328</v>
      </c>
      <c r="B13" s="184">
        <v>0</v>
      </c>
      <c r="C13" s="184">
        <v>0</v>
      </c>
      <c r="D13" s="184">
        <v>0</v>
      </c>
      <c r="E13" s="184">
        <v>0</v>
      </c>
      <c r="F13" s="184">
        <v>0</v>
      </c>
      <c r="G13" s="33"/>
      <c r="H13" s="19"/>
      <c r="I13" s="93" t="s">
        <v>329</v>
      </c>
      <c r="J13" s="214">
        <f>(J11*J6)+(J12*J5*(1-J9))</f>
        <v>0.23817000928681803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" x14ac:dyDescent="0.3">
      <c r="A14" s="45" t="s">
        <v>330</v>
      </c>
      <c r="B14" s="89">
        <f>FS!G181</f>
        <v>0</v>
      </c>
      <c r="C14" s="89">
        <f>FS!H181</f>
        <v>0</v>
      </c>
      <c r="D14" s="89">
        <f>FS!I181</f>
        <v>0</v>
      </c>
      <c r="E14" s="89">
        <f>FS!J181</f>
        <v>0</v>
      </c>
      <c r="F14" s="89">
        <f>FS!K181</f>
        <v>0</v>
      </c>
      <c r="G14" s="33"/>
      <c r="H14" s="19"/>
      <c r="I14" s="7" t="s">
        <v>331</v>
      </c>
      <c r="J14" s="211">
        <v>0.04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3">
      <c r="A15" s="137" t="s">
        <v>1</v>
      </c>
      <c r="B15" s="187">
        <f ca="1">B9+B12+B13+B14</f>
        <v>17571761.929291204</v>
      </c>
      <c r="C15" s="187">
        <f ca="1">C9+C12+C13+C14</f>
        <v>4814661.1762244496</v>
      </c>
      <c r="D15" s="187">
        <f ca="1">D9+D12+D13+D14</f>
        <v>4137942.1871856153</v>
      </c>
      <c r="E15" s="187">
        <f ca="1">E9+E12+E13+E14</f>
        <v>4483054.2833053023</v>
      </c>
      <c r="F15" s="187">
        <f ca="1">F9+F12+F13+F14</f>
        <v>4246552.7308914214</v>
      </c>
      <c r="G15" s="186">
        <f ca="1">F15*(1+J14)/(J11-J14)</f>
        <v>21575060.28396228</v>
      </c>
      <c r="H15" s="19"/>
      <c r="I15" s="7" t="s">
        <v>310</v>
      </c>
      <c r="J15" s="212">
        <f ca="1">-FS!G19/FS!G94</f>
        <v>0.18674199767209612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" x14ac:dyDescent="0.3">
      <c r="A16" s="19"/>
      <c r="B16" s="184"/>
      <c r="C16" s="184"/>
      <c r="D16" s="184"/>
      <c r="E16" s="184"/>
      <c r="F16" s="184"/>
      <c r="G16" s="19"/>
      <c r="H16" s="33"/>
      <c r="I16" s="45" t="s">
        <v>332</v>
      </c>
      <c r="J16" s="211">
        <f>(1-FS!G23)</f>
        <v>0.8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" x14ac:dyDescent="0.3">
      <c r="A17" s="19"/>
      <c r="B17" s="184"/>
      <c r="C17" s="184"/>
      <c r="D17" s="184"/>
      <c r="E17" s="184"/>
      <c r="F17" s="184"/>
      <c r="G17" s="19"/>
      <c r="H17" s="33"/>
      <c r="I17" s="51" t="s">
        <v>333</v>
      </c>
      <c r="J17" s="211">
        <f ca="1">J15*J16</f>
        <v>0.14939359813767691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3">
      <c r="A18" s="34" t="s">
        <v>0</v>
      </c>
      <c r="B18" s="188">
        <v>0</v>
      </c>
      <c r="C18" s="188">
        <v>1</v>
      </c>
      <c r="D18" s="188">
        <v>2</v>
      </c>
      <c r="E18" s="188">
        <v>3</v>
      </c>
      <c r="F18" s="189">
        <v>4</v>
      </c>
      <c r="G18" s="19"/>
      <c r="H18" s="19"/>
      <c r="I18" s="19"/>
      <c r="J18" s="1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" x14ac:dyDescent="0.3">
      <c r="A19" s="7" t="s">
        <v>334</v>
      </c>
      <c r="B19" s="190">
        <f>1/(1+$J$13)^B18</f>
        <v>1</v>
      </c>
      <c r="C19" s="42">
        <f>1/(1+$J$13)^C18</f>
        <v>0.80764353239018993</v>
      </c>
      <c r="D19" s="42">
        <f>1/(1+$J$13)^D18</f>
        <v>0.65228807541170386</v>
      </c>
      <c r="E19" s="42">
        <f>1/(1+$J$13)^E18</f>
        <v>0.52681624536150717</v>
      </c>
      <c r="F19" s="43">
        <f>1/(1+$J$13)^F18</f>
        <v>0.42547973332430472</v>
      </c>
      <c r="G19" s="19"/>
      <c r="H19" s="19"/>
      <c r="I19" s="19"/>
      <c r="J19" s="1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" x14ac:dyDescent="0.3">
      <c r="A20" s="7" t="s">
        <v>335</v>
      </c>
      <c r="B20" s="89">
        <f ca="1">B19*B9</f>
        <v>18397321.429291204</v>
      </c>
      <c r="C20" s="89">
        <f ca="1">C19*C9</f>
        <v>4555287.7504061004</v>
      </c>
      <c r="D20" s="89">
        <f ca="1">D19*D9</f>
        <v>3237632.9628370502</v>
      </c>
      <c r="E20" s="89">
        <f ca="1">E19*E9</f>
        <v>2796663.9813952451</v>
      </c>
      <c r="F20" s="90">
        <f ca="1">F19*F9</f>
        <v>2158080.9593906263</v>
      </c>
      <c r="G20" s="191">
        <f ca="1">G9*F19</f>
        <v>11325650.161916533</v>
      </c>
      <c r="H20" s="19"/>
      <c r="I20" s="19"/>
      <c r="J20" s="1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" x14ac:dyDescent="0.3">
      <c r="A21" s="37"/>
      <c r="B21" s="184"/>
      <c r="C21" s="184"/>
      <c r="D21" s="184"/>
      <c r="E21" s="184"/>
      <c r="F21" s="192"/>
      <c r="G21" s="19"/>
      <c r="H21" s="19"/>
      <c r="I21" s="19"/>
      <c r="J21" s="1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" x14ac:dyDescent="0.3">
      <c r="A22" s="7" t="s">
        <v>336</v>
      </c>
      <c r="B22" s="89">
        <f ca="1">SUM(B20:G20)</f>
        <v>42470637.245236762</v>
      </c>
      <c r="C22" s="184"/>
      <c r="D22" s="184"/>
      <c r="E22" s="184"/>
      <c r="F22" s="192"/>
      <c r="G22" s="19"/>
      <c r="H22" s="19"/>
      <c r="I22" s="19"/>
      <c r="J22" s="1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" x14ac:dyDescent="0.3">
      <c r="A23" s="7" t="s">
        <v>337</v>
      </c>
      <c r="B23" s="89">
        <f>(FS!F100+FS!F101+FS!F110+FS!F113)*-1</f>
        <v>-6655784</v>
      </c>
      <c r="C23" s="184"/>
      <c r="D23" s="184"/>
      <c r="E23" s="184"/>
      <c r="F23" s="192"/>
      <c r="G23" s="19"/>
      <c r="H23" s="19"/>
      <c r="I23" s="19"/>
      <c r="J23" s="1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" x14ac:dyDescent="0.3">
      <c r="A24" s="7" t="s">
        <v>338</v>
      </c>
      <c r="B24" s="89">
        <f>FS!F79</f>
        <v>10801097</v>
      </c>
      <c r="C24" s="184"/>
      <c r="D24" s="184"/>
      <c r="E24" s="184"/>
      <c r="F24" s="192"/>
      <c r="G24" s="19"/>
      <c r="H24" s="19"/>
      <c r="I24" s="19"/>
      <c r="J24" s="1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" x14ac:dyDescent="0.3">
      <c r="A25" s="7" t="s">
        <v>339</v>
      </c>
      <c r="B25" s="89">
        <f ca="1">SUM(B22:B24)</f>
        <v>46615950.245236762</v>
      </c>
      <c r="C25" s="184"/>
      <c r="D25" s="184"/>
      <c r="E25" s="184"/>
      <c r="F25" s="192"/>
      <c r="G25" s="19"/>
      <c r="H25" s="19"/>
      <c r="I25" s="19"/>
      <c r="J25" s="1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" x14ac:dyDescent="0.3">
      <c r="A26" s="7" t="s">
        <v>210</v>
      </c>
      <c r="B26" s="89">
        <f>FS!A26</f>
        <v>214024.66200000001</v>
      </c>
      <c r="C26" s="184"/>
      <c r="D26" s="184"/>
      <c r="E26" s="184"/>
      <c r="F26" s="192"/>
      <c r="G26" s="19"/>
      <c r="H26" s="19"/>
      <c r="I26" s="19"/>
      <c r="J26" s="1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" x14ac:dyDescent="0.3">
      <c r="A27" s="7" t="s">
        <v>340</v>
      </c>
      <c r="B27" s="42">
        <f ca="1">B25/B26</f>
        <v>217.80644253621929</v>
      </c>
      <c r="C27" s="184"/>
      <c r="D27" s="184"/>
      <c r="E27" s="184"/>
      <c r="F27" s="192"/>
      <c r="G27" s="19"/>
      <c r="H27" s="19"/>
      <c r="I27" s="19"/>
      <c r="J27" s="1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" x14ac:dyDescent="0.3">
      <c r="A28" s="7" t="s">
        <v>8</v>
      </c>
      <c r="B28" s="42">
        <v>74.42</v>
      </c>
      <c r="C28" s="184"/>
      <c r="D28" s="184"/>
      <c r="E28" s="184"/>
      <c r="F28" s="192"/>
      <c r="G28" s="19"/>
      <c r="H28" s="19"/>
      <c r="I28" s="19"/>
      <c r="J28" s="1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" x14ac:dyDescent="0.3">
      <c r="A29" s="7" t="s">
        <v>341</v>
      </c>
      <c r="B29" s="101">
        <f ca="1">B27/B28-1</f>
        <v>1.9267191955955294</v>
      </c>
      <c r="C29" s="184"/>
      <c r="D29" s="184"/>
      <c r="E29" s="184"/>
      <c r="F29" s="192"/>
      <c r="G29" s="19"/>
      <c r="H29" s="19"/>
      <c r="I29" s="19"/>
      <c r="J29" s="1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" x14ac:dyDescent="0.3">
      <c r="A30" s="7" t="s">
        <v>342</v>
      </c>
      <c r="B30" s="106">
        <f>FS!G22/B28</f>
        <v>4.0311744154797095E-2</v>
      </c>
      <c r="C30" s="184"/>
      <c r="D30" s="184"/>
      <c r="E30" s="184"/>
      <c r="F30" s="192"/>
      <c r="G30" s="19"/>
      <c r="H30" s="19"/>
      <c r="I30" s="19"/>
      <c r="J30" s="1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" x14ac:dyDescent="0.3">
      <c r="A31" s="7" t="s">
        <v>343</v>
      </c>
      <c r="B31" s="101">
        <f ca="1">B29+B30</f>
        <v>1.9670309397503265</v>
      </c>
      <c r="C31" s="184"/>
      <c r="D31" s="184"/>
      <c r="E31" s="184"/>
      <c r="F31" s="192"/>
      <c r="G31" s="19"/>
      <c r="H31" s="19"/>
      <c r="I31" s="19"/>
      <c r="J31" s="1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" x14ac:dyDescent="0.3">
      <c r="A32" s="15" t="s">
        <v>12</v>
      </c>
      <c r="B32" s="51" t="s">
        <v>13</v>
      </c>
      <c r="C32" s="193"/>
      <c r="D32" s="193"/>
      <c r="E32" s="193"/>
      <c r="F32" s="194"/>
      <c r="G32" s="19"/>
      <c r="H32" s="19"/>
      <c r="I32" s="19"/>
      <c r="J32" s="1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" x14ac:dyDescent="0.3">
      <c r="A33" s="45"/>
      <c r="B33" s="184"/>
      <c r="C33" s="184"/>
      <c r="D33" s="184"/>
      <c r="E33" s="184"/>
      <c r="F33" s="184"/>
      <c r="G33" s="19"/>
      <c r="H33" s="19"/>
      <c r="I33" s="19"/>
      <c r="J33" s="1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" x14ac:dyDescent="0.3">
      <c r="A34" s="34" t="s">
        <v>1</v>
      </c>
      <c r="B34" s="87">
        <f t="shared" ref="B34:G34" ca="1" si="0">B15</f>
        <v>17571761.929291204</v>
      </c>
      <c r="C34" s="87">
        <f t="shared" ca="1" si="0"/>
        <v>4814661.1762244496</v>
      </c>
      <c r="D34" s="87">
        <f t="shared" ca="1" si="0"/>
        <v>4137942.1871856153</v>
      </c>
      <c r="E34" s="87">
        <f t="shared" ca="1" si="0"/>
        <v>4483054.2833053023</v>
      </c>
      <c r="F34" s="88">
        <f t="shared" ca="1" si="0"/>
        <v>4246552.7308914214</v>
      </c>
      <c r="G34" s="191">
        <f t="shared" ca="1" si="0"/>
        <v>21575060.28396228</v>
      </c>
      <c r="H34" s="19"/>
      <c r="I34" s="19"/>
      <c r="J34" s="1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" x14ac:dyDescent="0.3">
      <c r="A35" s="7" t="s">
        <v>334</v>
      </c>
      <c r="B35" s="42">
        <f>1/(1+$J$11)^B18</f>
        <v>1</v>
      </c>
      <c r="C35" s="42">
        <f>1/(1+$J$11)^C18</f>
        <v>0.80340644331967548</v>
      </c>
      <c r="D35" s="42">
        <f>1/(1+$J$11)^D18</f>
        <v>0.64546191316757096</v>
      </c>
      <c r="E35" s="42">
        <f>1/(1+$J$11)^E18</f>
        <v>0.51856825995627132</v>
      </c>
      <c r="F35" s="43">
        <f>1/(1+$J$11)^F18</f>
        <v>0.41662108134994086</v>
      </c>
      <c r="G35" s="19"/>
      <c r="H35" s="19"/>
      <c r="I35" s="19"/>
      <c r="J35" s="1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" x14ac:dyDescent="0.3">
      <c r="A36" s="7" t="s">
        <v>335</v>
      </c>
      <c r="B36" s="89">
        <f ca="1">B34*B35</f>
        <v>17571761.929291204</v>
      </c>
      <c r="C36" s="89">
        <f ca="1">C34*C35</f>
        <v>3868129.8113798103</v>
      </c>
      <c r="D36" s="89">
        <f ca="1">D34*D35</f>
        <v>2670884.0807176302</v>
      </c>
      <c r="E36" s="89">
        <f ca="1">E34*E35</f>
        <v>2324769.6589831398</v>
      </c>
      <c r="F36" s="90">
        <f ca="1">F34*F35</f>
        <v>1769203.3907535283</v>
      </c>
      <c r="G36" s="191">
        <f ca="1">G34*F35</f>
        <v>8988624.9456945267</v>
      </c>
      <c r="H36" s="19"/>
      <c r="I36" s="19"/>
      <c r="J36" s="1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" x14ac:dyDescent="0.3">
      <c r="A37" s="7"/>
      <c r="B37" s="184"/>
      <c r="C37" s="184"/>
      <c r="D37" s="184"/>
      <c r="E37" s="184"/>
      <c r="F37" s="192"/>
      <c r="G37" s="19"/>
      <c r="H37" s="19"/>
      <c r="I37" s="19"/>
      <c r="J37" s="1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" x14ac:dyDescent="0.3">
      <c r="A38" s="7" t="s">
        <v>344</v>
      </c>
      <c r="B38" s="89">
        <f ca="1">SUM(B36:G36)</f>
        <v>37193373.816819839</v>
      </c>
      <c r="C38" s="184"/>
      <c r="D38" s="184"/>
      <c r="E38" s="184"/>
      <c r="F38" s="192"/>
      <c r="G38" s="19"/>
      <c r="H38" s="19"/>
      <c r="I38" s="19"/>
      <c r="J38" s="1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" x14ac:dyDescent="0.3">
      <c r="A39" s="7" t="s">
        <v>338</v>
      </c>
      <c r="B39" s="89">
        <f>B24</f>
        <v>10801097</v>
      </c>
      <c r="C39" s="184"/>
      <c r="D39" s="184"/>
      <c r="E39" s="184"/>
      <c r="F39" s="192"/>
      <c r="G39" s="19"/>
      <c r="H39" s="19"/>
      <c r="I39" s="19"/>
      <c r="J39" s="19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" x14ac:dyDescent="0.3">
      <c r="A40" s="7" t="s">
        <v>345</v>
      </c>
      <c r="B40" s="89">
        <f ca="1">SUM(B38:B39)</f>
        <v>47994470.816819839</v>
      </c>
      <c r="C40" s="184"/>
      <c r="D40" s="184"/>
      <c r="E40" s="184"/>
      <c r="F40" s="192"/>
      <c r="G40" s="19"/>
      <c r="H40" s="19"/>
      <c r="I40" s="19"/>
      <c r="J40" s="19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" x14ac:dyDescent="0.3">
      <c r="A41" s="7" t="s">
        <v>210</v>
      </c>
      <c r="B41" s="89">
        <f>B26</f>
        <v>214024.66200000001</v>
      </c>
      <c r="C41" s="184"/>
      <c r="D41" s="184"/>
      <c r="E41" s="184"/>
      <c r="F41" s="192"/>
      <c r="G41" s="19"/>
      <c r="H41" s="19"/>
      <c r="I41" s="19"/>
      <c r="J41" s="1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" x14ac:dyDescent="0.3">
      <c r="A42" s="7" t="s">
        <v>340</v>
      </c>
      <c r="B42" s="42">
        <f ca="1">B40/B41</f>
        <v>224.2473851766664</v>
      </c>
      <c r="C42" s="184"/>
      <c r="D42" s="184"/>
      <c r="E42" s="184"/>
      <c r="F42" s="192"/>
      <c r="G42" s="19"/>
      <c r="H42" s="19"/>
      <c r="I42" s="19"/>
      <c r="J42" s="1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" x14ac:dyDescent="0.3">
      <c r="A43" s="7" t="s">
        <v>8</v>
      </c>
      <c r="B43" s="42">
        <f>B28</f>
        <v>74.42</v>
      </c>
      <c r="C43" s="184"/>
      <c r="D43" s="184"/>
      <c r="E43" s="184"/>
      <c r="F43" s="192"/>
      <c r="G43" s="19"/>
      <c r="H43" s="19"/>
      <c r="I43" s="19"/>
      <c r="J43" s="19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" x14ac:dyDescent="0.3">
      <c r="A44" s="7" t="s">
        <v>9</v>
      </c>
      <c r="B44" s="106">
        <f ca="1">B42/B43-1</f>
        <v>2.0132677395413383</v>
      </c>
      <c r="C44" s="184"/>
      <c r="D44" s="184"/>
      <c r="E44" s="184"/>
      <c r="F44" s="192"/>
      <c r="G44" s="19"/>
      <c r="H44" s="19"/>
      <c r="I44" s="19"/>
      <c r="J44" s="19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" x14ac:dyDescent="0.3">
      <c r="A45" s="7" t="s">
        <v>342</v>
      </c>
      <c r="B45" s="106">
        <f>B30</f>
        <v>4.0311744154797095E-2</v>
      </c>
      <c r="C45" s="184"/>
      <c r="D45" s="184"/>
      <c r="E45" s="184"/>
      <c r="F45" s="192"/>
      <c r="G45" s="19"/>
      <c r="H45" s="19"/>
      <c r="I45" s="19"/>
      <c r="J45" s="19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" x14ac:dyDescent="0.3">
      <c r="A46" s="7" t="s">
        <v>343</v>
      </c>
      <c r="B46" s="106">
        <f ca="1">SUM(B44:B45)</f>
        <v>2.0535794836961352</v>
      </c>
      <c r="C46" s="184"/>
      <c r="D46" s="184"/>
      <c r="E46" s="184"/>
      <c r="F46" s="192"/>
      <c r="G46" s="19"/>
      <c r="H46" s="19"/>
      <c r="I46" s="19"/>
      <c r="J46" s="19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" x14ac:dyDescent="0.3">
      <c r="A47" s="15" t="s">
        <v>12</v>
      </c>
      <c r="B47" s="51" t="s">
        <v>13</v>
      </c>
      <c r="C47" s="193"/>
      <c r="D47" s="193"/>
      <c r="E47" s="193"/>
      <c r="F47" s="194"/>
      <c r="G47" s="19"/>
      <c r="H47" s="19"/>
      <c r="I47" s="19"/>
      <c r="J47" s="19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" x14ac:dyDescent="0.3">
      <c r="A48" s="45"/>
      <c r="B48" s="184"/>
      <c r="C48" s="184"/>
      <c r="D48" s="184"/>
      <c r="E48" s="184"/>
      <c r="F48" s="184"/>
      <c r="G48" s="19"/>
      <c r="H48" s="19"/>
      <c r="I48" s="19"/>
      <c r="J48" s="19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" x14ac:dyDescent="0.3">
      <c r="A49" s="34" t="s">
        <v>2</v>
      </c>
      <c r="B49" s="183"/>
      <c r="C49" s="183"/>
      <c r="D49" s="183"/>
      <c r="E49" s="183"/>
      <c r="F49" s="195"/>
      <c r="G49" s="19"/>
      <c r="H49" s="19"/>
      <c r="I49" s="19"/>
      <c r="J49" s="19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" x14ac:dyDescent="0.3">
      <c r="A50" s="7" t="s">
        <v>32</v>
      </c>
      <c r="B50" s="89">
        <f>FS!G22</f>
        <v>3</v>
      </c>
      <c r="C50" s="89">
        <f>FS!H22</f>
        <v>3</v>
      </c>
      <c r="D50" s="89">
        <f>FS!I22</f>
        <v>3</v>
      </c>
      <c r="E50" s="89">
        <f>FS!J22</f>
        <v>3</v>
      </c>
      <c r="F50" s="90">
        <f>FS!K22</f>
        <v>3</v>
      </c>
      <c r="G50" s="196">
        <f>3*(1+J14)/(J11-J14)</f>
        <v>15.241817293600391</v>
      </c>
      <c r="H50" s="19"/>
      <c r="I50" s="19"/>
      <c r="J50" s="19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" x14ac:dyDescent="0.3">
      <c r="A51" s="7" t="s">
        <v>346</v>
      </c>
      <c r="B51" s="42">
        <f>B50*B35</f>
        <v>3</v>
      </c>
      <c r="C51" s="42">
        <f>C50*C35</f>
        <v>2.4102193299590264</v>
      </c>
      <c r="D51" s="42">
        <f>D50*D35</f>
        <v>1.9363857395027129</v>
      </c>
      <c r="E51" s="42">
        <f>E50*E35</f>
        <v>1.5557047798688139</v>
      </c>
      <c r="F51" s="43">
        <f>F50*F35</f>
        <v>1.2498632440498225</v>
      </c>
      <c r="G51" s="196">
        <f>G50*F35</f>
        <v>6.3500624025980237</v>
      </c>
      <c r="H51" s="19"/>
      <c r="I51" s="19"/>
      <c r="J51" s="1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" x14ac:dyDescent="0.3">
      <c r="A52" s="37"/>
      <c r="B52" s="184"/>
      <c r="C52" s="184"/>
      <c r="D52" s="184"/>
      <c r="E52" s="184"/>
      <c r="F52" s="192"/>
      <c r="G52" s="19"/>
      <c r="H52" s="19"/>
      <c r="I52" s="19"/>
      <c r="J52" s="19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" x14ac:dyDescent="0.3">
      <c r="A53" s="7" t="s">
        <v>347</v>
      </c>
      <c r="B53" s="42">
        <f>SUM(B51:G51)</f>
        <v>16.5022354959784</v>
      </c>
      <c r="C53" s="184"/>
      <c r="D53" s="184"/>
      <c r="E53" s="184"/>
      <c r="F53" s="192"/>
      <c r="G53" s="19"/>
      <c r="H53" s="19"/>
      <c r="I53" s="19"/>
      <c r="J53" s="19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" x14ac:dyDescent="0.3">
      <c r="A54" s="7" t="s">
        <v>348</v>
      </c>
      <c r="B54" s="42">
        <f>B39/B41</f>
        <v>50.466599965942237</v>
      </c>
      <c r="C54" s="184"/>
      <c r="D54" s="184"/>
      <c r="E54" s="184"/>
      <c r="F54" s="192"/>
      <c r="G54" s="19"/>
      <c r="H54" s="19"/>
      <c r="I54" s="19"/>
      <c r="J54" s="1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" x14ac:dyDescent="0.3">
      <c r="A55" s="7" t="s">
        <v>340</v>
      </c>
      <c r="B55" s="42">
        <f>SUM(B53:B54)</f>
        <v>66.968835461920634</v>
      </c>
      <c r="C55" s="184"/>
      <c r="D55" s="184"/>
      <c r="E55" s="184"/>
      <c r="F55" s="192"/>
      <c r="G55" s="19"/>
      <c r="H55" s="19"/>
      <c r="I55" s="19"/>
      <c r="J55" s="19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" x14ac:dyDescent="0.3">
      <c r="A56" s="7" t="s">
        <v>8</v>
      </c>
      <c r="B56" s="42">
        <f>B43</f>
        <v>74.42</v>
      </c>
      <c r="C56" s="184"/>
      <c r="D56" s="184"/>
      <c r="E56" s="184"/>
      <c r="F56" s="192"/>
      <c r="G56" s="19"/>
      <c r="H56" s="19"/>
      <c r="I56" s="19"/>
      <c r="J56" s="19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" x14ac:dyDescent="0.3">
      <c r="A57" s="7" t="s">
        <v>349</v>
      </c>
      <c r="B57" s="106">
        <f>B55/B56-1</f>
        <v>-0.10012314617145079</v>
      </c>
      <c r="C57" s="184"/>
      <c r="D57" s="184"/>
      <c r="E57" s="184"/>
      <c r="F57" s="192"/>
      <c r="G57" s="19"/>
      <c r="H57" s="19"/>
      <c r="I57" s="19"/>
      <c r="J57" s="19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" x14ac:dyDescent="0.3">
      <c r="A58" s="7" t="s">
        <v>342</v>
      </c>
      <c r="B58" s="106">
        <f>B45</f>
        <v>4.0311744154797095E-2</v>
      </c>
      <c r="C58" s="184"/>
      <c r="D58" s="184"/>
      <c r="E58" s="184"/>
      <c r="F58" s="192"/>
      <c r="G58" s="19"/>
      <c r="H58" s="19"/>
      <c r="I58" s="19"/>
      <c r="J58" s="19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" x14ac:dyDescent="0.3">
      <c r="A59" s="7" t="s">
        <v>343</v>
      </c>
      <c r="B59" s="106">
        <f>B57+B58</f>
        <v>-5.9811402016653699E-2</v>
      </c>
      <c r="C59" s="184"/>
      <c r="D59" s="184"/>
      <c r="E59" s="184"/>
      <c r="F59" s="192"/>
      <c r="G59" s="19"/>
      <c r="H59" s="19"/>
      <c r="I59" s="19"/>
      <c r="J59" s="19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" x14ac:dyDescent="0.3">
      <c r="A60" s="15" t="s">
        <v>12</v>
      </c>
      <c r="B60" s="51" t="s">
        <v>14</v>
      </c>
      <c r="C60" s="193"/>
      <c r="D60" s="193"/>
      <c r="E60" s="193"/>
      <c r="F60" s="194"/>
      <c r="G60" s="19"/>
      <c r="H60" s="19"/>
      <c r="I60" s="19"/>
      <c r="J60" s="19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" x14ac:dyDescent="0.3">
      <c r="A61" s="45"/>
      <c r="B61" s="184"/>
      <c r="C61" s="184"/>
      <c r="D61" s="184"/>
      <c r="E61" s="184"/>
      <c r="F61" s="184"/>
      <c r="G61" s="19"/>
      <c r="H61" s="19"/>
      <c r="I61" s="19"/>
      <c r="J61" s="1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" x14ac:dyDescent="0.3">
      <c r="A62" s="34" t="s">
        <v>350</v>
      </c>
      <c r="B62" s="183"/>
      <c r="C62" s="197"/>
      <c r="D62" s="184"/>
      <c r="E62" s="184"/>
      <c r="F62" s="184"/>
      <c r="G62" s="19"/>
      <c r="H62" s="19"/>
      <c r="I62" s="19"/>
      <c r="J62" s="1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" x14ac:dyDescent="0.3">
      <c r="A63" s="93" t="s">
        <v>351</v>
      </c>
      <c r="B63" s="198" t="s">
        <v>352</v>
      </c>
      <c r="C63" s="199" t="s">
        <v>353</v>
      </c>
      <c r="D63" s="184"/>
      <c r="E63" s="184"/>
      <c r="F63" s="184"/>
      <c r="G63" s="19"/>
      <c r="H63" s="19"/>
      <c r="I63" s="19"/>
      <c r="J63" s="19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" x14ac:dyDescent="0.3">
      <c r="A64" s="7" t="s">
        <v>31</v>
      </c>
      <c r="B64" s="200">
        <f>FS!F21</f>
        <v>-0.33787227754154797</v>
      </c>
      <c r="C64" s="201">
        <f ca="1">FS!G21</f>
        <v>-10.260118185185451</v>
      </c>
      <c r="D64" s="184"/>
      <c r="E64" s="184"/>
      <c r="F64" s="184"/>
      <c r="G64" s="19"/>
      <c r="H64" s="202"/>
      <c r="I64" s="202"/>
      <c r="J64" s="19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" x14ac:dyDescent="0.3">
      <c r="A65" s="7" t="s">
        <v>354</v>
      </c>
      <c r="B65" s="192">
        <v>4</v>
      </c>
      <c r="C65" s="203">
        <v>3</v>
      </c>
      <c r="D65" s="184"/>
      <c r="E65" s="184"/>
      <c r="F65" s="184"/>
      <c r="G65" s="19"/>
      <c r="H65" s="202"/>
      <c r="I65" s="202"/>
      <c r="J65" s="19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" x14ac:dyDescent="0.3">
      <c r="A66" s="7" t="s">
        <v>340</v>
      </c>
      <c r="B66" s="204">
        <f>B65*B64</f>
        <v>-1.3514891101661919</v>
      </c>
      <c r="C66" s="205">
        <f ca="1">C65*C64</f>
        <v>-30.780354555556354</v>
      </c>
      <c r="D66" s="184"/>
      <c r="E66" s="184"/>
      <c r="F66" s="184"/>
      <c r="G66" s="19"/>
      <c r="H66" s="202"/>
      <c r="I66" s="202"/>
      <c r="J66" s="19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" x14ac:dyDescent="0.3">
      <c r="A67" s="7" t="s">
        <v>8</v>
      </c>
      <c r="B67" s="43">
        <f>B28</f>
        <v>74.42</v>
      </c>
      <c r="C67" s="206">
        <f>B56</f>
        <v>74.42</v>
      </c>
      <c r="D67" s="184"/>
      <c r="E67" s="184"/>
      <c r="F67" s="184"/>
      <c r="G67" s="19"/>
      <c r="H67" s="202"/>
      <c r="I67" s="202"/>
      <c r="J67" s="19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" x14ac:dyDescent="0.3">
      <c r="A68" s="7" t="s">
        <v>349</v>
      </c>
      <c r="B68" s="107">
        <f>B66/B67-1</f>
        <v>-1.018160294412338</v>
      </c>
      <c r="C68" s="207">
        <f ca="1">C66/C67-1</f>
        <v>-1.413603259279177</v>
      </c>
      <c r="D68" s="184"/>
      <c r="E68" s="184"/>
      <c r="F68" s="184"/>
      <c r="G68" s="19"/>
      <c r="H68" s="202"/>
      <c r="I68" s="202"/>
      <c r="J68" s="19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" x14ac:dyDescent="0.3">
      <c r="A69" s="7" t="s">
        <v>342</v>
      </c>
      <c r="B69" s="107">
        <f>B58</f>
        <v>4.0311744154797095E-2</v>
      </c>
      <c r="C69" s="207">
        <f>B69</f>
        <v>4.0311744154797095E-2</v>
      </c>
      <c r="D69" s="184"/>
      <c r="E69" s="184"/>
      <c r="F69" s="184"/>
      <c r="G69" s="19"/>
      <c r="H69" s="202"/>
      <c r="I69" s="202"/>
      <c r="J69" s="19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" x14ac:dyDescent="0.3">
      <c r="A70" s="7" t="s">
        <v>11</v>
      </c>
      <c r="B70" s="107">
        <f>B68+B69</f>
        <v>-0.97784855025754092</v>
      </c>
      <c r="C70" s="207">
        <f ca="1">C68+C69</f>
        <v>-1.3732915151243799</v>
      </c>
      <c r="D70" s="184"/>
      <c r="E70" s="184"/>
      <c r="F70" s="184"/>
      <c r="G70" s="19"/>
      <c r="H70" s="202"/>
      <c r="I70" s="202"/>
      <c r="J70" s="19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" x14ac:dyDescent="0.3">
      <c r="A71" s="37"/>
      <c r="B71" s="46" t="s">
        <v>14</v>
      </c>
      <c r="C71" s="46" t="s">
        <v>14</v>
      </c>
      <c r="D71" s="184"/>
      <c r="E71" s="184"/>
      <c r="F71" s="184"/>
      <c r="G71" s="19"/>
      <c r="H71" s="202"/>
      <c r="I71" s="202"/>
      <c r="J71" s="19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" x14ac:dyDescent="0.3">
      <c r="A72" s="93" t="s">
        <v>355</v>
      </c>
      <c r="B72" s="198" t="s">
        <v>352</v>
      </c>
      <c r="C72" s="199" t="s">
        <v>353</v>
      </c>
      <c r="D72" s="184"/>
      <c r="E72" s="184"/>
      <c r="F72" s="184"/>
      <c r="G72" s="19"/>
      <c r="H72" s="202"/>
      <c r="I72" s="202"/>
      <c r="J72" s="19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" x14ac:dyDescent="0.3">
      <c r="A73" s="7" t="s">
        <v>356</v>
      </c>
      <c r="B73" s="204">
        <f>FS!F94/FS!$A$26</f>
        <v>68.202864397001122</v>
      </c>
      <c r="C73" s="205">
        <f ca="1">FS!G94/FS!$A$26</f>
        <v>54.942746211815674</v>
      </c>
      <c r="D73" s="184"/>
      <c r="E73" s="184"/>
      <c r="F73" s="184"/>
      <c r="G73" s="19"/>
      <c r="H73" s="202"/>
      <c r="I73" s="202"/>
      <c r="J73" s="19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" x14ac:dyDescent="0.3">
      <c r="A74" s="7" t="s">
        <v>354</v>
      </c>
      <c r="B74" s="192">
        <v>1.5</v>
      </c>
      <c r="C74" s="203">
        <v>1.2</v>
      </c>
      <c r="D74" s="184"/>
      <c r="E74" s="184"/>
      <c r="F74" s="184"/>
      <c r="G74" s="19"/>
      <c r="H74" s="202"/>
      <c r="I74" s="202"/>
      <c r="J74" s="19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" x14ac:dyDescent="0.3">
      <c r="A75" s="7" t="s">
        <v>340</v>
      </c>
      <c r="B75" s="43">
        <f>B73*B74</f>
        <v>102.30429659550168</v>
      </c>
      <c r="C75" s="206">
        <f ca="1">C73*C74</f>
        <v>65.931295454178809</v>
      </c>
      <c r="D75" s="184"/>
      <c r="E75" s="184"/>
      <c r="F75" s="184"/>
      <c r="G75" s="19"/>
      <c r="H75" s="202"/>
      <c r="I75" s="202"/>
      <c r="J75" s="19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" x14ac:dyDescent="0.3">
      <c r="A76" s="7" t="s">
        <v>8</v>
      </c>
      <c r="B76" s="43">
        <f>B67</f>
        <v>74.42</v>
      </c>
      <c r="C76" s="206">
        <f>B76</f>
        <v>74.42</v>
      </c>
      <c r="D76" s="184"/>
      <c r="E76" s="184"/>
      <c r="F76" s="184"/>
      <c r="G76" s="19"/>
      <c r="H76" s="202"/>
      <c r="I76" s="202"/>
      <c r="J76" s="19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" x14ac:dyDescent="0.3">
      <c r="A77" s="7" t="s">
        <v>357</v>
      </c>
      <c r="B77" s="107">
        <f>B75/B76-1</f>
        <v>0.37468821009811459</v>
      </c>
      <c r="C77" s="207">
        <f ca="1">C75/C76-1</f>
        <v>-0.11406482861893563</v>
      </c>
      <c r="D77" s="184"/>
      <c r="E77" s="184"/>
      <c r="F77" s="184"/>
      <c r="G77" s="19"/>
      <c r="H77" s="202"/>
      <c r="I77" s="202"/>
      <c r="J77" s="19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" x14ac:dyDescent="0.3">
      <c r="A78" s="7" t="s">
        <v>342</v>
      </c>
      <c r="B78" s="107">
        <f>B69</f>
        <v>4.0311744154797095E-2</v>
      </c>
      <c r="C78" s="207">
        <f>C69</f>
        <v>4.0311744154797095E-2</v>
      </c>
      <c r="D78" s="184"/>
      <c r="E78" s="184"/>
      <c r="F78" s="184"/>
      <c r="G78" s="19"/>
      <c r="H78" s="202"/>
      <c r="I78" s="202"/>
      <c r="J78" s="19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" x14ac:dyDescent="0.3">
      <c r="A79" s="7" t="s">
        <v>11</v>
      </c>
      <c r="B79" s="107">
        <f>B77+B78</f>
        <v>0.4149999542529117</v>
      </c>
      <c r="C79" s="207">
        <f ca="1">C77+C78</f>
        <v>-7.375308446413853E-2</v>
      </c>
      <c r="D79" s="184"/>
      <c r="E79" s="184"/>
      <c r="F79" s="184"/>
      <c r="G79" s="19"/>
      <c r="H79" s="202"/>
      <c r="I79" s="202"/>
      <c r="J79" s="19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" x14ac:dyDescent="0.3">
      <c r="A80" s="60"/>
      <c r="B80" s="51" t="s">
        <v>13</v>
      </c>
      <c r="C80" s="27" t="s">
        <v>14</v>
      </c>
      <c r="D80" s="184"/>
      <c r="E80" s="184"/>
      <c r="F80" s="184"/>
      <c r="G80" s="19"/>
      <c r="H80" s="19"/>
      <c r="I80" s="19"/>
      <c r="J80" s="19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" x14ac:dyDescent="0.3">
      <c r="A81" s="1"/>
      <c r="B81" s="110"/>
      <c r="C81" s="110"/>
      <c r="D81" s="110"/>
      <c r="E81" s="110"/>
      <c r="F81" s="11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" x14ac:dyDescent="0.3">
      <c r="A82" s="1"/>
      <c r="B82" s="110"/>
      <c r="C82" s="110"/>
      <c r="D82" s="110"/>
      <c r="E82" s="110"/>
      <c r="F82" s="11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" x14ac:dyDescent="0.3">
      <c r="A83" s="1"/>
      <c r="B83" s="110"/>
      <c r="C83" s="110"/>
      <c r="D83" s="110"/>
      <c r="E83" s="110"/>
      <c r="F83" s="11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" x14ac:dyDescent="0.3">
      <c r="A84" s="1"/>
      <c r="B84" s="110"/>
      <c r="C84" s="110"/>
      <c r="D84" s="110"/>
      <c r="E84" s="110"/>
      <c r="F84" s="11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" x14ac:dyDescent="0.3">
      <c r="A85" s="1"/>
      <c r="B85" s="110"/>
      <c r="C85" s="110"/>
      <c r="D85" s="110"/>
      <c r="E85" s="110"/>
      <c r="F85" s="11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" x14ac:dyDescent="0.3">
      <c r="A86" s="1"/>
      <c r="B86" s="110"/>
      <c r="C86" s="110"/>
      <c r="D86" s="110"/>
      <c r="E86" s="110"/>
      <c r="F86" s="11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" x14ac:dyDescent="0.3">
      <c r="A87" s="1"/>
      <c r="B87" s="110"/>
      <c r="C87" s="110"/>
      <c r="D87" s="110"/>
      <c r="E87" s="110"/>
      <c r="F87" s="11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" x14ac:dyDescent="0.3">
      <c r="A88" s="1"/>
      <c r="B88" s="110"/>
      <c r="C88" s="110"/>
      <c r="D88" s="110"/>
      <c r="E88" s="110"/>
      <c r="F88" s="11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" x14ac:dyDescent="0.3">
      <c r="A89" s="1"/>
      <c r="B89" s="110"/>
      <c r="C89" s="110"/>
      <c r="D89" s="110"/>
      <c r="E89" s="110"/>
      <c r="F89" s="11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" x14ac:dyDescent="0.3">
      <c r="A90" s="1"/>
      <c r="B90" s="110"/>
      <c r="C90" s="110"/>
      <c r="D90" s="110"/>
      <c r="E90" s="110"/>
      <c r="F90" s="11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" x14ac:dyDescent="0.3">
      <c r="A91" s="1"/>
      <c r="B91" s="110"/>
      <c r="C91" s="110"/>
      <c r="D91" s="110"/>
      <c r="E91" s="110"/>
      <c r="F91" s="11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" x14ac:dyDescent="0.3">
      <c r="A92" s="1"/>
      <c r="B92" s="110"/>
      <c r="C92" s="110"/>
      <c r="D92" s="110"/>
      <c r="E92" s="110"/>
      <c r="F92" s="11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" x14ac:dyDescent="0.3">
      <c r="A93" s="1"/>
      <c r="B93" s="110"/>
      <c r="C93" s="110"/>
      <c r="D93" s="110"/>
      <c r="E93" s="110"/>
      <c r="F93" s="11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" x14ac:dyDescent="0.3">
      <c r="A94" s="1"/>
      <c r="B94" s="110"/>
      <c r="C94" s="110"/>
      <c r="D94" s="110"/>
      <c r="E94" s="110"/>
      <c r="F94" s="11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" x14ac:dyDescent="0.3">
      <c r="A95" s="1"/>
      <c r="B95" s="110"/>
      <c r="C95" s="110"/>
      <c r="D95" s="110"/>
      <c r="E95" s="110"/>
      <c r="F95" s="11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" x14ac:dyDescent="0.3">
      <c r="A96" s="1"/>
      <c r="B96" s="110"/>
      <c r="C96" s="110"/>
      <c r="D96" s="110"/>
      <c r="E96" s="110"/>
      <c r="F96" s="11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" x14ac:dyDescent="0.3">
      <c r="A97" s="1"/>
      <c r="B97" s="110"/>
      <c r="C97" s="110"/>
      <c r="D97" s="110"/>
      <c r="E97" s="110"/>
      <c r="F97" s="11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" x14ac:dyDescent="0.3">
      <c r="A98" s="1"/>
      <c r="B98" s="110"/>
      <c r="C98" s="110"/>
      <c r="D98" s="110"/>
      <c r="E98" s="110"/>
      <c r="F98" s="11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" x14ac:dyDescent="0.3">
      <c r="A99" s="1"/>
      <c r="B99" s="110"/>
      <c r="C99" s="110"/>
      <c r="D99" s="110"/>
      <c r="E99" s="110"/>
      <c r="F99" s="11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" x14ac:dyDescent="0.3">
      <c r="A100" s="1"/>
      <c r="B100" s="110"/>
      <c r="C100" s="110"/>
      <c r="D100" s="110"/>
      <c r="E100" s="110"/>
      <c r="F100" s="11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" x14ac:dyDescent="0.3">
      <c r="A101" s="1"/>
      <c r="B101" s="110"/>
      <c r="C101" s="110"/>
      <c r="D101" s="110"/>
      <c r="E101" s="110"/>
      <c r="F101" s="11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" x14ac:dyDescent="0.3">
      <c r="A102" s="1"/>
      <c r="B102" s="110"/>
      <c r="C102" s="110"/>
      <c r="D102" s="110"/>
      <c r="E102" s="110"/>
      <c r="F102" s="11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" x14ac:dyDescent="0.3">
      <c r="A103" s="1"/>
      <c r="B103" s="110"/>
      <c r="C103" s="110"/>
      <c r="D103" s="110"/>
      <c r="E103" s="110"/>
      <c r="F103" s="11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" x14ac:dyDescent="0.3">
      <c r="A104" s="1"/>
      <c r="B104" s="110"/>
      <c r="C104" s="110"/>
      <c r="D104" s="110"/>
      <c r="E104" s="110"/>
      <c r="F104" s="11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" x14ac:dyDescent="0.3">
      <c r="A105" s="1"/>
      <c r="B105" s="110"/>
      <c r="C105" s="110"/>
      <c r="D105" s="110"/>
      <c r="E105" s="110"/>
      <c r="F105" s="11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" x14ac:dyDescent="0.3">
      <c r="A106" s="1"/>
      <c r="B106" s="110"/>
      <c r="C106" s="110"/>
      <c r="D106" s="110"/>
      <c r="E106" s="110"/>
      <c r="F106" s="11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" x14ac:dyDescent="0.3">
      <c r="A107" s="1"/>
      <c r="B107" s="110"/>
      <c r="C107" s="110"/>
      <c r="D107" s="110"/>
      <c r="E107" s="110"/>
      <c r="F107" s="11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" x14ac:dyDescent="0.3">
      <c r="A108" s="1"/>
      <c r="B108" s="110"/>
      <c r="C108" s="110"/>
      <c r="D108" s="110"/>
      <c r="E108" s="110"/>
      <c r="F108" s="11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" x14ac:dyDescent="0.3">
      <c r="A109" s="1"/>
      <c r="B109" s="110"/>
      <c r="C109" s="110"/>
      <c r="D109" s="110"/>
      <c r="E109" s="110"/>
      <c r="F109" s="11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" x14ac:dyDescent="0.3">
      <c r="A110" s="1"/>
      <c r="B110" s="110"/>
      <c r="C110" s="110"/>
      <c r="D110" s="110"/>
      <c r="E110" s="110"/>
      <c r="F110" s="11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" x14ac:dyDescent="0.3">
      <c r="A111" s="1"/>
      <c r="B111" s="110"/>
      <c r="C111" s="110"/>
      <c r="D111" s="110"/>
      <c r="E111" s="110"/>
      <c r="F111" s="11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" x14ac:dyDescent="0.3">
      <c r="A112" s="1"/>
      <c r="B112" s="110"/>
      <c r="C112" s="110"/>
      <c r="D112" s="110"/>
      <c r="E112" s="110"/>
      <c r="F112" s="11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" x14ac:dyDescent="0.3">
      <c r="A113" s="1"/>
      <c r="B113" s="110"/>
      <c r="C113" s="110"/>
      <c r="D113" s="110"/>
      <c r="E113" s="110"/>
      <c r="F113" s="11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" x14ac:dyDescent="0.3">
      <c r="A114" s="1"/>
      <c r="B114" s="110"/>
      <c r="C114" s="110"/>
      <c r="D114" s="110"/>
      <c r="E114" s="110"/>
      <c r="F114" s="11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" x14ac:dyDescent="0.3">
      <c r="A115" s="1"/>
      <c r="B115" s="110"/>
      <c r="C115" s="110"/>
      <c r="D115" s="110"/>
      <c r="E115" s="110"/>
      <c r="F115" s="11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" x14ac:dyDescent="0.3">
      <c r="A116" s="1"/>
      <c r="B116" s="110"/>
      <c r="C116" s="110"/>
      <c r="D116" s="110"/>
      <c r="E116" s="110"/>
      <c r="F116" s="11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" x14ac:dyDescent="0.3">
      <c r="A117" s="1"/>
      <c r="B117" s="110"/>
      <c r="C117" s="110"/>
      <c r="D117" s="110"/>
      <c r="E117" s="110"/>
      <c r="F117" s="11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" x14ac:dyDescent="0.3">
      <c r="A118" s="1"/>
      <c r="B118" s="110"/>
      <c r="C118" s="110"/>
      <c r="D118" s="110"/>
      <c r="E118" s="110"/>
      <c r="F118" s="11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" x14ac:dyDescent="0.3">
      <c r="A119" s="1"/>
      <c r="B119" s="110"/>
      <c r="C119" s="110"/>
      <c r="D119" s="110"/>
      <c r="E119" s="110"/>
      <c r="F119" s="11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" x14ac:dyDescent="0.3">
      <c r="A120" s="1"/>
      <c r="B120" s="110"/>
      <c r="C120" s="110"/>
      <c r="D120" s="110"/>
      <c r="E120" s="110"/>
      <c r="F120" s="11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" x14ac:dyDescent="0.3">
      <c r="A121" s="1"/>
      <c r="B121" s="110"/>
      <c r="C121" s="110"/>
      <c r="D121" s="110"/>
      <c r="E121" s="110"/>
      <c r="F121" s="11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" x14ac:dyDescent="0.3">
      <c r="A122" s="1"/>
      <c r="B122" s="110"/>
      <c r="C122" s="110"/>
      <c r="D122" s="110"/>
      <c r="E122" s="110"/>
      <c r="F122" s="11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" x14ac:dyDescent="0.3">
      <c r="A123" s="1"/>
      <c r="B123" s="110"/>
      <c r="C123" s="110"/>
      <c r="D123" s="110"/>
      <c r="E123" s="110"/>
      <c r="F123" s="11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" x14ac:dyDescent="0.3">
      <c r="A124" s="1"/>
      <c r="B124" s="110"/>
      <c r="C124" s="110"/>
      <c r="D124" s="110"/>
      <c r="E124" s="110"/>
      <c r="F124" s="11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" x14ac:dyDescent="0.3">
      <c r="A125" s="1"/>
      <c r="B125" s="110"/>
      <c r="C125" s="110"/>
      <c r="D125" s="110"/>
      <c r="E125" s="110"/>
      <c r="F125" s="11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" x14ac:dyDescent="0.3">
      <c r="A126" s="1"/>
      <c r="B126" s="110"/>
      <c r="C126" s="110"/>
      <c r="D126" s="110"/>
      <c r="E126" s="110"/>
      <c r="F126" s="11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" x14ac:dyDescent="0.3">
      <c r="A127" s="1"/>
      <c r="B127" s="110"/>
      <c r="C127" s="110"/>
      <c r="D127" s="110"/>
      <c r="E127" s="110"/>
      <c r="F127" s="11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" x14ac:dyDescent="0.3">
      <c r="A128" s="1"/>
      <c r="B128" s="110"/>
      <c r="C128" s="110"/>
      <c r="D128" s="110"/>
      <c r="E128" s="110"/>
      <c r="F128" s="11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" x14ac:dyDescent="0.3">
      <c r="A129" s="1"/>
      <c r="B129" s="110"/>
      <c r="C129" s="110"/>
      <c r="D129" s="110"/>
      <c r="E129" s="110"/>
      <c r="F129" s="11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" x14ac:dyDescent="0.3">
      <c r="A130" s="1"/>
      <c r="B130" s="110"/>
      <c r="C130" s="110"/>
      <c r="D130" s="110"/>
      <c r="E130" s="110"/>
      <c r="F130" s="11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" x14ac:dyDescent="0.3">
      <c r="A131" s="1"/>
      <c r="B131" s="110"/>
      <c r="C131" s="110"/>
      <c r="D131" s="110"/>
      <c r="E131" s="110"/>
      <c r="F131" s="11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" x14ac:dyDescent="0.3">
      <c r="A132" s="1"/>
      <c r="B132" s="110"/>
      <c r="C132" s="110"/>
      <c r="D132" s="110"/>
      <c r="E132" s="110"/>
      <c r="F132" s="11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" x14ac:dyDescent="0.3">
      <c r="A133" s="1"/>
      <c r="B133" s="110"/>
      <c r="C133" s="110"/>
      <c r="D133" s="110"/>
      <c r="E133" s="110"/>
      <c r="F133" s="11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" x14ac:dyDescent="0.3">
      <c r="A134" s="1"/>
      <c r="B134" s="110"/>
      <c r="C134" s="110"/>
      <c r="D134" s="110"/>
      <c r="E134" s="110"/>
      <c r="F134" s="11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" x14ac:dyDescent="0.3">
      <c r="A135" s="1"/>
      <c r="B135" s="110"/>
      <c r="C135" s="110"/>
      <c r="D135" s="110"/>
      <c r="E135" s="110"/>
      <c r="F135" s="11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" x14ac:dyDescent="0.3">
      <c r="A136" s="1"/>
      <c r="B136" s="110"/>
      <c r="C136" s="110"/>
      <c r="D136" s="110"/>
      <c r="E136" s="110"/>
      <c r="F136" s="11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" x14ac:dyDescent="0.3">
      <c r="A137" s="1"/>
      <c r="B137" s="110"/>
      <c r="C137" s="110"/>
      <c r="D137" s="110"/>
      <c r="E137" s="110"/>
      <c r="F137" s="11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" x14ac:dyDescent="0.3">
      <c r="A138" s="1"/>
      <c r="B138" s="110"/>
      <c r="C138" s="110"/>
      <c r="D138" s="110"/>
      <c r="E138" s="110"/>
      <c r="F138" s="11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" x14ac:dyDescent="0.3">
      <c r="A139" s="1"/>
      <c r="B139" s="110"/>
      <c r="C139" s="110"/>
      <c r="D139" s="110"/>
      <c r="E139" s="110"/>
      <c r="F139" s="11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" x14ac:dyDescent="0.3">
      <c r="A140" s="1"/>
      <c r="B140" s="110"/>
      <c r="C140" s="110"/>
      <c r="D140" s="110"/>
      <c r="E140" s="110"/>
      <c r="F140" s="11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" x14ac:dyDescent="0.3">
      <c r="A141" s="1"/>
      <c r="B141" s="110"/>
      <c r="C141" s="110"/>
      <c r="D141" s="110"/>
      <c r="E141" s="110"/>
      <c r="F141" s="11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" x14ac:dyDescent="0.3">
      <c r="A142" s="1"/>
      <c r="B142" s="110"/>
      <c r="C142" s="110"/>
      <c r="D142" s="110"/>
      <c r="E142" s="110"/>
      <c r="F142" s="11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" x14ac:dyDescent="0.3">
      <c r="A143" s="1"/>
      <c r="B143" s="110"/>
      <c r="C143" s="110"/>
      <c r="D143" s="110"/>
      <c r="E143" s="110"/>
      <c r="F143" s="11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" x14ac:dyDescent="0.3">
      <c r="A144" s="1"/>
      <c r="B144" s="110"/>
      <c r="C144" s="110"/>
      <c r="D144" s="110"/>
      <c r="E144" s="110"/>
      <c r="F144" s="11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" x14ac:dyDescent="0.3">
      <c r="A145" s="1"/>
      <c r="B145" s="110"/>
      <c r="C145" s="110"/>
      <c r="D145" s="110"/>
      <c r="E145" s="110"/>
      <c r="F145" s="11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" x14ac:dyDescent="0.3">
      <c r="A146" s="1"/>
      <c r="B146" s="110"/>
      <c r="C146" s="110"/>
      <c r="D146" s="110"/>
      <c r="E146" s="110"/>
      <c r="F146" s="11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" x14ac:dyDescent="0.3">
      <c r="A147" s="1"/>
      <c r="B147" s="110"/>
      <c r="C147" s="110"/>
      <c r="D147" s="110"/>
      <c r="E147" s="110"/>
      <c r="F147" s="11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" x14ac:dyDescent="0.3">
      <c r="A148" s="1"/>
      <c r="B148" s="110"/>
      <c r="C148" s="110"/>
      <c r="D148" s="110"/>
      <c r="E148" s="110"/>
      <c r="F148" s="11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" x14ac:dyDescent="0.3">
      <c r="A149" s="1"/>
      <c r="B149" s="110"/>
      <c r="C149" s="110"/>
      <c r="D149" s="110"/>
      <c r="E149" s="110"/>
      <c r="F149" s="11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" x14ac:dyDescent="0.3">
      <c r="A150" s="1"/>
      <c r="B150" s="110"/>
      <c r="C150" s="110"/>
      <c r="D150" s="110"/>
      <c r="E150" s="110"/>
      <c r="F150" s="11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" x14ac:dyDescent="0.3">
      <c r="A151" s="1"/>
      <c r="B151" s="110"/>
      <c r="C151" s="110"/>
      <c r="D151" s="110"/>
      <c r="E151" s="110"/>
      <c r="F151" s="11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" x14ac:dyDescent="0.3">
      <c r="A152" s="1"/>
      <c r="B152" s="110"/>
      <c r="C152" s="110"/>
      <c r="D152" s="110"/>
      <c r="E152" s="110"/>
      <c r="F152" s="11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" x14ac:dyDescent="0.3">
      <c r="A153" s="1"/>
      <c r="B153" s="110"/>
      <c r="C153" s="110"/>
      <c r="D153" s="110"/>
      <c r="E153" s="110"/>
      <c r="F153" s="11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" x14ac:dyDescent="0.3">
      <c r="A154" s="1"/>
      <c r="B154" s="110"/>
      <c r="C154" s="110"/>
      <c r="D154" s="110"/>
      <c r="E154" s="110"/>
      <c r="F154" s="11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" x14ac:dyDescent="0.3">
      <c r="A155" s="1"/>
      <c r="B155" s="110"/>
      <c r="C155" s="110"/>
      <c r="D155" s="110"/>
      <c r="E155" s="110"/>
      <c r="F155" s="11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" x14ac:dyDescent="0.3">
      <c r="A156" s="1"/>
      <c r="B156" s="110"/>
      <c r="C156" s="110"/>
      <c r="D156" s="110"/>
      <c r="E156" s="110"/>
      <c r="F156" s="11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" x14ac:dyDescent="0.3">
      <c r="A157" s="1"/>
      <c r="B157" s="110"/>
      <c r="C157" s="110"/>
      <c r="D157" s="110"/>
      <c r="E157" s="110"/>
      <c r="F157" s="11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" x14ac:dyDescent="0.3">
      <c r="A158" s="1"/>
      <c r="B158" s="110"/>
      <c r="C158" s="110"/>
      <c r="D158" s="110"/>
      <c r="E158" s="110"/>
      <c r="F158" s="11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" x14ac:dyDescent="0.3">
      <c r="A159" s="1"/>
      <c r="B159" s="110"/>
      <c r="C159" s="110"/>
      <c r="D159" s="110"/>
      <c r="E159" s="110"/>
      <c r="F159" s="11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" x14ac:dyDescent="0.3">
      <c r="A160" s="1"/>
      <c r="B160" s="110"/>
      <c r="C160" s="110"/>
      <c r="D160" s="110"/>
      <c r="E160" s="110"/>
      <c r="F160" s="11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" x14ac:dyDescent="0.3">
      <c r="A161" s="1"/>
      <c r="B161" s="110"/>
      <c r="C161" s="110"/>
      <c r="D161" s="110"/>
      <c r="E161" s="110"/>
      <c r="F161" s="11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" x14ac:dyDescent="0.3">
      <c r="A162" s="1"/>
      <c r="B162" s="110"/>
      <c r="C162" s="110"/>
      <c r="D162" s="110"/>
      <c r="E162" s="110"/>
      <c r="F162" s="11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" x14ac:dyDescent="0.3">
      <c r="A163" s="1"/>
      <c r="B163" s="110"/>
      <c r="C163" s="110"/>
      <c r="D163" s="110"/>
      <c r="E163" s="110"/>
      <c r="F163" s="11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" x14ac:dyDescent="0.3">
      <c r="A164" s="1"/>
      <c r="B164" s="110"/>
      <c r="C164" s="110"/>
      <c r="D164" s="110"/>
      <c r="E164" s="110"/>
      <c r="F164" s="11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" x14ac:dyDescent="0.3">
      <c r="A165" s="1"/>
      <c r="B165" s="110"/>
      <c r="C165" s="110"/>
      <c r="D165" s="110"/>
      <c r="E165" s="110"/>
      <c r="F165" s="11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" x14ac:dyDescent="0.3">
      <c r="A166" s="1"/>
      <c r="B166" s="110"/>
      <c r="C166" s="110"/>
      <c r="D166" s="110"/>
      <c r="E166" s="110"/>
      <c r="F166" s="11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" x14ac:dyDescent="0.3">
      <c r="A167" s="1"/>
      <c r="B167" s="110"/>
      <c r="C167" s="110"/>
      <c r="D167" s="110"/>
      <c r="E167" s="110"/>
      <c r="F167" s="11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" x14ac:dyDescent="0.3">
      <c r="A168" s="1"/>
      <c r="B168" s="110"/>
      <c r="C168" s="110"/>
      <c r="D168" s="110"/>
      <c r="E168" s="110"/>
      <c r="F168" s="11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" x14ac:dyDescent="0.3">
      <c r="A169" s="1"/>
      <c r="B169" s="110"/>
      <c r="C169" s="110"/>
      <c r="D169" s="110"/>
      <c r="E169" s="110"/>
      <c r="F169" s="11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" x14ac:dyDescent="0.3">
      <c r="A170" s="1"/>
      <c r="B170" s="110"/>
      <c r="C170" s="110"/>
      <c r="D170" s="110"/>
      <c r="E170" s="110"/>
      <c r="F170" s="11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" x14ac:dyDescent="0.3">
      <c r="A171" s="1"/>
      <c r="B171" s="110"/>
      <c r="C171" s="110"/>
      <c r="D171" s="110"/>
      <c r="E171" s="110"/>
      <c r="F171" s="11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" x14ac:dyDescent="0.3">
      <c r="A172" s="1"/>
      <c r="B172" s="110"/>
      <c r="C172" s="110"/>
      <c r="D172" s="110"/>
      <c r="E172" s="110"/>
      <c r="F172" s="11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" x14ac:dyDescent="0.3">
      <c r="A173" s="1"/>
      <c r="B173" s="110"/>
      <c r="C173" s="110"/>
      <c r="D173" s="110"/>
      <c r="E173" s="110"/>
      <c r="F173" s="11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" x14ac:dyDescent="0.3">
      <c r="A174" s="1"/>
      <c r="B174" s="110"/>
      <c r="C174" s="110"/>
      <c r="D174" s="110"/>
      <c r="E174" s="110"/>
      <c r="F174" s="11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" x14ac:dyDescent="0.3">
      <c r="A175" s="1"/>
      <c r="B175" s="110"/>
      <c r="C175" s="110"/>
      <c r="D175" s="110"/>
      <c r="E175" s="110"/>
      <c r="F175" s="11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" x14ac:dyDescent="0.3">
      <c r="A176" s="1"/>
      <c r="B176" s="110"/>
      <c r="C176" s="110"/>
      <c r="D176" s="110"/>
      <c r="E176" s="110"/>
      <c r="F176" s="11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" x14ac:dyDescent="0.3">
      <c r="A177" s="1"/>
      <c r="B177" s="110"/>
      <c r="C177" s="110"/>
      <c r="D177" s="110"/>
      <c r="E177" s="110"/>
      <c r="F177" s="11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" x14ac:dyDescent="0.3">
      <c r="A178" s="1"/>
      <c r="B178" s="110"/>
      <c r="C178" s="110"/>
      <c r="D178" s="110"/>
      <c r="E178" s="110"/>
      <c r="F178" s="11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" x14ac:dyDescent="0.3">
      <c r="A179" s="1"/>
      <c r="B179" s="110"/>
      <c r="C179" s="110"/>
      <c r="D179" s="110"/>
      <c r="E179" s="110"/>
      <c r="F179" s="11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" x14ac:dyDescent="0.3">
      <c r="A180" s="1"/>
      <c r="B180" s="110"/>
      <c r="C180" s="110"/>
      <c r="D180" s="110"/>
      <c r="E180" s="110"/>
      <c r="F180" s="11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" x14ac:dyDescent="0.3">
      <c r="A181" s="1"/>
      <c r="B181" s="110"/>
      <c r="C181" s="110"/>
      <c r="D181" s="110"/>
      <c r="E181" s="110"/>
      <c r="F181" s="11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" x14ac:dyDescent="0.3">
      <c r="A182" s="1"/>
      <c r="B182" s="110"/>
      <c r="C182" s="110"/>
      <c r="D182" s="110"/>
      <c r="E182" s="110"/>
      <c r="F182" s="11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" x14ac:dyDescent="0.3">
      <c r="A183" s="1"/>
      <c r="B183" s="110"/>
      <c r="C183" s="110"/>
      <c r="D183" s="110"/>
      <c r="E183" s="110"/>
      <c r="F183" s="11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" x14ac:dyDescent="0.3">
      <c r="A184" s="1"/>
      <c r="B184" s="110"/>
      <c r="C184" s="110"/>
      <c r="D184" s="110"/>
      <c r="E184" s="110"/>
      <c r="F184" s="11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" x14ac:dyDescent="0.3">
      <c r="A185" s="1"/>
      <c r="B185" s="110"/>
      <c r="C185" s="110"/>
      <c r="D185" s="110"/>
      <c r="E185" s="110"/>
      <c r="F185" s="11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" x14ac:dyDescent="0.3">
      <c r="A186" s="1"/>
      <c r="B186" s="110"/>
      <c r="C186" s="110"/>
      <c r="D186" s="110"/>
      <c r="E186" s="110"/>
      <c r="F186" s="11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" x14ac:dyDescent="0.3">
      <c r="A187" s="1"/>
      <c r="B187" s="110"/>
      <c r="C187" s="110"/>
      <c r="D187" s="110"/>
      <c r="E187" s="110"/>
      <c r="F187" s="11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" x14ac:dyDescent="0.3">
      <c r="A188" s="1"/>
      <c r="B188" s="110"/>
      <c r="C188" s="110"/>
      <c r="D188" s="110"/>
      <c r="E188" s="110"/>
      <c r="F188" s="11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" x14ac:dyDescent="0.3">
      <c r="A189" s="1"/>
      <c r="B189" s="110"/>
      <c r="C189" s="110"/>
      <c r="D189" s="110"/>
      <c r="E189" s="110"/>
      <c r="F189" s="11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" x14ac:dyDescent="0.3">
      <c r="A190" s="1"/>
      <c r="B190" s="110"/>
      <c r="C190" s="110"/>
      <c r="D190" s="110"/>
      <c r="E190" s="110"/>
      <c r="F190" s="11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" x14ac:dyDescent="0.3">
      <c r="A191" s="1"/>
      <c r="B191" s="110"/>
      <c r="C191" s="110"/>
      <c r="D191" s="110"/>
      <c r="E191" s="110"/>
      <c r="F191" s="11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" x14ac:dyDescent="0.3">
      <c r="A192" s="1"/>
      <c r="B192" s="110"/>
      <c r="C192" s="110"/>
      <c r="D192" s="110"/>
      <c r="E192" s="110"/>
      <c r="F192" s="11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" x14ac:dyDescent="0.3">
      <c r="A193" s="1"/>
      <c r="B193" s="110"/>
      <c r="C193" s="110"/>
      <c r="D193" s="110"/>
      <c r="E193" s="110"/>
      <c r="F193" s="11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" x14ac:dyDescent="0.3">
      <c r="A194" s="1"/>
      <c r="B194" s="110"/>
      <c r="C194" s="110"/>
      <c r="D194" s="110"/>
      <c r="E194" s="110"/>
      <c r="F194" s="11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" x14ac:dyDescent="0.3">
      <c r="A195" s="1"/>
      <c r="B195" s="110"/>
      <c r="C195" s="110"/>
      <c r="D195" s="110"/>
      <c r="E195" s="110"/>
      <c r="F195" s="11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" x14ac:dyDescent="0.3">
      <c r="A196" s="1"/>
      <c r="B196" s="110"/>
      <c r="C196" s="110"/>
      <c r="D196" s="110"/>
      <c r="E196" s="110"/>
      <c r="F196" s="11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" x14ac:dyDescent="0.3">
      <c r="A197" s="1"/>
      <c r="B197" s="110"/>
      <c r="C197" s="110"/>
      <c r="D197" s="110"/>
      <c r="E197" s="110"/>
      <c r="F197" s="11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" x14ac:dyDescent="0.3">
      <c r="A198" s="1"/>
      <c r="B198" s="110"/>
      <c r="C198" s="110"/>
      <c r="D198" s="110"/>
      <c r="E198" s="110"/>
      <c r="F198" s="11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" x14ac:dyDescent="0.3">
      <c r="A199" s="1"/>
      <c r="B199" s="110"/>
      <c r="C199" s="110"/>
      <c r="D199" s="110"/>
      <c r="E199" s="110"/>
      <c r="F199" s="11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" x14ac:dyDescent="0.3">
      <c r="A200" s="1"/>
      <c r="B200" s="110"/>
      <c r="C200" s="110"/>
      <c r="D200" s="110"/>
      <c r="E200" s="110"/>
      <c r="F200" s="11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" x14ac:dyDescent="0.3">
      <c r="A201" s="1"/>
      <c r="B201" s="110"/>
      <c r="C201" s="110"/>
      <c r="D201" s="110"/>
      <c r="E201" s="110"/>
      <c r="F201" s="11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" x14ac:dyDescent="0.3">
      <c r="A202" s="1"/>
      <c r="B202" s="110"/>
      <c r="C202" s="110"/>
      <c r="D202" s="110"/>
      <c r="E202" s="110"/>
      <c r="F202" s="11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" x14ac:dyDescent="0.3">
      <c r="A203" s="1"/>
      <c r="B203" s="110"/>
      <c r="C203" s="110"/>
      <c r="D203" s="110"/>
      <c r="E203" s="110"/>
      <c r="F203" s="11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" x14ac:dyDescent="0.3">
      <c r="A204" s="1"/>
      <c r="B204" s="110"/>
      <c r="C204" s="110"/>
      <c r="D204" s="110"/>
      <c r="E204" s="110"/>
      <c r="F204" s="11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" x14ac:dyDescent="0.3">
      <c r="A205" s="1"/>
      <c r="B205" s="110"/>
      <c r="C205" s="110"/>
      <c r="D205" s="110"/>
      <c r="E205" s="110"/>
      <c r="F205" s="11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" x14ac:dyDescent="0.3">
      <c r="A206" s="1"/>
      <c r="B206" s="110"/>
      <c r="C206" s="110"/>
      <c r="D206" s="110"/>
      <c r="E206" s="110"/>
      <c r="F206" s="11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" x14ac:dyDescent="0.3">
      <c r="A207" s="1"/>
      <c r="B207" s="110"/>
      <c r="C207" s="110"/>
      <c r="D207" s="110"/>
      <c r="E207" s="110"/>
      <c r="F207" s="11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" x14ac:dyDescent="0.3">
      <c r="A208" s="1"/>
      <c r="B208" s="110"/>
      <c r="C208" s="110"/>
      <c r="D208" s="110"/>
      <c r="E208" s="110"/>
      <c r="F208" s="11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" x14ac:dyDescent="0.3">
      <c r="A209" s="1"/>
      <c r="B209" s="110"/>
      <c r="C209" s="110"/>
      <c r="D209" s="110"/>
      <c r="E209" s="110"/>
      <c r="F209" s="11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" x14ac:dyDescent="0.3">
      <c r="A210" s="1"/>
      <c r="B210" s="110"/>
      <c r="C210" s="110"/>
      <c r="D210" s="110"/>
      <c r="E210" s="110"/>
      <c r="F210" s="11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" x14ac:dyDescent="0.3">
      <c r="A211" s="1"/>
      <c r="B211" s="110"/>
      <c r="C211" s="110"/>
      <c r="D211" s="110"/>
      <c r="E211" s="110"/>
      <c r="F211" s="11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" x14ac:dyDescent="0.3">
      <c r="A212" s="1"/>
      <c r="B212" s="110"/>
      <c r="C212" s="110"/>
      <c r="D212" s="110"/>
      <c r="E212" s="110"/>
      <c r="F212" s="11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" x14ac:dyDescent="0.3">
      <c r="A213" s="1"/>
      <c r="B213" s="110"/>
      <c r="C213" s="110"/>
      <c r="D213" s="110"/>
      <c r="E213" s="110"/>
      <c r="F213" s="11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" x14ac:dyDescent="0.3">
      <c r="A214" s="1"/>
      <c r="B214" s="110"/>
      <c r="C214" s="110"/>
      <c r="D214" s="110"/>
      <c r="E214" s="110"/>
      <c r="F214" s="11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" x14ac:dyDescent="0.3">
      <c r="A215" s="1"/>
      <c r="B215" s="110"/>
      <c r="C215" s="110"/>
      <c r="D215" s="110"/>
      <c r="E215" s="110"/>
      <c r="F215" s="11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" x14ac:dyDescent="0.3">
      <c r="A216" s="1"/>
      <c r="B216" s="110"/>
      <c r="C216" s="110"/>
      <c r="D216" s="110"/>
      <c r="E216" s="110"/>
      <c r="F216" s="11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" x14ac:dyDescent="0.3">
      <c r="A217" s="1"/>
      <c r="B217" s="110"/>
      <c r="C217" s="110"/>
      <c r="D217" s="110"/>
      <c r="E217" s="110"/>
      <c r="F217" s="11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" x14ac:dyDescent="0.3">
      <c r="A218" s="1"/>
      <c r="B218" s="110"/>
      <c r="C218" s="110"/>
      <c r="D218" s="110"/>
      <c r="E218" s="110"/>
      <c r="F218" s="11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" x14ac:dyDescent="0.3">
      <c r="A219" s="1"/>
      <c r="B219" s="110"/>
      <c r="C219" s="110"/>
      <c r="D219" s="110"/>
      <c r="E219" s="110"/>
      <c r="F219" s="11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" x14ac:dyDescent="0.3">
      <c r="A220" s="1"/>
      <c r="B220" s="110"/>
      <c r="C220" s="110"/>
      <c r="D220" s="110"/>
      <c r="E220" s="110"/>
      <c r="F220" s="11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" x14ac:dyDescent="0.3">
      <c r="A221" s="1"/>
      <c r="B221" s="110"/>
      <c r="C221" s="110"/>
      <c r="D221" s="110"/>
      <c r="E221" s="110"/>
      <c r="F221" s="11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" x14ac:dyDescent="0.3">
      <c r="A222" s="1"/>
      <c r="B222" s="110"/>
      <c r="C222" s="110"/>
      <c r="D222" s="110"/>
      <c r="E222" s="110"/>
      <c r="F222" s="11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" x14ac:dyDescent="0.3">
      <c r="A223" s="1"/>
      <c r="B223" s="110"/>
      <c r="C223" s="110"/>
      <c r="D223" s="110"/>
      <c r="E223" s="110"/>
      <c r="F223" s="11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" x14ac:dyDescent="0.3">
      <c r="A224" s="1"/>
      <c r="B224" s="110"/>
      <c r="C224" s="110"/>
      <c r="D224" s="110"/>
      <c r="E224" s="110"/>
      <c r="F224" s="11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" x14ac:dyDescent="0.3">
      <c r="A225" s="1"/>
      <c r="B225" s="110"/>
      <c r="C225" s="110"/>
      <c r="D225" s="110"/>
      <c r="E225" s="110"/>
      <c r="F225" s="11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" x14ac:dyDescent="0.3">
      <c r="A226" s="1"/>
      <c r="B226" s="110"/>
      <c r="C226" s="110"/>
      <c r="D226" s="110"/>
      <c r="E226" s="110"/>
      <c r="F226" s="11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" x14ac:dyDescent="0.3">
      <c r="A227" s="1"/>
      <c r="B227" s="110"/>
      <c r="C227" s="110"/>
      <c r="D227" s="110"/>
      <c r="E227" s="110"/>
      <c r="F227" s="11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" x14ac:dyDescent="0.3">
      <c r="A228" s="1"/>
      <c r="B228" s="110"/>
      <c r="C228" s="110"/>
      <c r="D228" s="110"/>
      <c r="E228" s="110"/>
      <c r="F228" s="11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" x14ac:dyDescent="0.3">
      <c r="A229" s="1"/>
      <c r="B229" s="110"/>
      <c r="C229" s="110"/>
      <c r="D229" s="110"/>
      <c r="E229" s="110"/>
      <c r="F229" s="11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" x14ac:dyDescent="0.3">
      <c r="A230" s="1"/>
      <c r="B230" s="110"/>
      <c r="C230" s="110"/>
      <c r="D230" s="110"/>
      <c r="E230" s="110"/>
      <c r="F230" s="11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" x14ac:dyDescent="0.3">
      <c r="A231" s="1"/>
      <c r="B231" s="110"/>
      <c r="C231" s="110"/>
      <c r="D231" s="110"/>
      <c r="E231" s="110"/>
      <c r="F231" s="11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" x14ac:dyDescent="0.3">
      <c r="A232" s="1"/>
      <c r="B232" s="110"/>
      <c r="C232" s="110"/>
      <c r="D232" s="110"/>
      <c r="E232" s="110"/>
      <c r="F232" s="11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" x14ac:dyDescent="0.3">
      <c r="A233" s="1"/>
      <c r="B233" s="110"/>
      <c r="C233" s="110"/>
      <c r="D233" s="110"/>
      <c r="E233" s="110"/>
      <c r="F233" s="11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" x14ac:dyDescent="0.3">
      <c r="A234" s="1"/>
      <c r="B234" s="110"/>
      <c r="C234" s="110"/>
      <c r="D234" s="110"/>
      <c r="E234" s="110"/>
      <c r="F234" s="11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" x14ac:dyDescent="0.3">
      <c r="A235" s="1"/>
      <c r="B235" s="110"/>
      <c r="C235" s="110"/>
      <c r="D235" s="110"/>
      <c r="E235" s="110"/>
      <c r="F235" s="11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" x14ac:dyDescent="0.3">
      <c r="A236" s="1"/>
      <c r="B236" s="110"/>
      <c r="C236" s="110"/>
      <c r="D236" s="110"/>
      <c r="E236" s="110"/>
      <c r="F236" s="11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" x14ac:dyDescent="0.3">
      <c r="A237" s="1"/>
      <c r="B237" s="110"/>
      <c r="C237" s="110"/>
      <c r="D237" s="110"/>
      <c r="E237" s="110"/>
      <c r="F237" s="11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" x14ac:dyDescent="0.3">
      <c r="A238" s="1"/>
      <c r="B238" s="110"/>
      <c r="C238" s="110"/>
      <c r="D238" s="110"/>
      <c r="E238" s="110"/>
      <c r="F238" s="11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" x14ac:dyDescent="0.3">
      <c r="A239" s="1"/>
      <c r="B239" s="110"/>
      <c r="C239" s="110"/>
      <c r="D239" s="110"/>
      <c r="E239" s="110"/>
      <c r="F239" s="11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" x14ac:dyDescent="0.3">
      <c r="A240" s="1"/>
      <c r="B240" s="110"/>
      <c r="C240" s="110"/>
      <c r="D240" s="110"/>
      <c r="E240" s="110"/>
      <c r="F240" s="11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" x14ac:dyDescent="0.3">
      <c r="A241" s="1"/>
      <c r="B241" s="110"/>
      <c r="C241" s="110"/>
      <c r="D241" s="110"/>
      <c r="E241" s="110"/>
      <c r="F241" s="11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" x14ac:dyDescent="0.3">
      <c r="A242" s="1"/>
      <c r="B242" s="110"/>
      <c r="C242" s="110"/>
      <c r="D242" s="110"/>
      <c r="E242" s="110"/>
      <c r="F242" s="11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" x14ac:dyDescent="0.3">
      <c r="A243" s="1"/>
      <c r="B243" s="110"/>
      <c r="C243" s="110"/>
      <c r="D243" s="110"/>
      <c r="E243" s="110"/>
      <c r="F243" s="11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" x14ac:dyDescent="0.3">
      <c r="A244" s="1"/>
      <c r="B244" s="110"/>
      <c r="C244" s="110"/>
      <c r="D244" s="110"/>
      <c r="E244" s="110"/>
      <c r="F244" s="11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" x14ac:dyDescent="0.3">
      <c r="A245" s="1"/>
      <c r="B245" s="110"/>
      <c r="C245" s="110"/>
      <c r="D245" s="110"/>
      <c r="E245" s="110"/>
      <c r="F245" s="11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" x14ac:dyDescent="0.3">
      <c r="A246" s="1"/>
      <c r="B246" s="110"/>
      <c r="C246" s="110"/>
      <c r="D246" s="110"/>
      <c r="E246" s="110"/>
      <c r="F246" s="11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" x14ac:dyDescent="0.3">
      <c r="A247" s="1"/>
      <c r="B247" s="110"/>
      <c r="C247" s="110"/>
      <c r="D247" s="110"/>
      <c r="E247" s="110"/>
      <c r="F247" s="11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" x14ac:dyDescent="0.3">
      <c r="A248" s="1"/>
      <c r="B248" s="110"/>
      <c r="C248" s="110"/>
      <c r="D248" s="110"/>
      <c r="E248" s="110"/>
      <c r="F248" s="11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" x14ac:dyDescent="0.3">
      <c r="A249" s="1"/>
      <c r="B249" s="110"/>
      <c r="C249" s="110"/>
      <c r="D249" s="110"/>
      <c r="E249" s="110"/>
      <c r="F249" s="11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" x14ac:dyDescent="0.3">
      <c r="A250" s="1"/>
      <c r="B250" s="110"/>
      <c r="C250" s="110"/>
      <c r="D250" s="110"/>
      <c r="E250" s="110"/>
      <c r="F250" s="11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" x14ac:dyDescent="0.3">
      <c r="A251" s="1"/>
      <c r="B251" s="110"/>
      <c r="C251" s="110"/>
      <c r="D251" s="110"/>
      <c r="E251" s="110"/>
      <c r="F251" s="11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" x14ac:dyDescent="0.3">
      <c r="A252" s="1"/>
      <c r="B252" s="110"/>
      <c r="C252" s="110"/>
      <c r="D252" s="110"/>
      <c r="E252" s="110"/>
      <c r="F252" s="11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" x14ac:dyDescent="0.3">
      <c r="A253" s="1"/>
      <c r="B253" s="110"/>
      <c r="C253" s="110"/>
      <c r="D253" s="110"/>
      <c r="E253" s="110"/>
      <c r="F253" s="11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" x14ac:dyDescent="0.3">
      <c r="A254" s="1"/>
      <c r="B254" s="110"/>
      <c r="C254" s="110"/>
      <c r="D254" s="110"/>
      <c r="E254" s="110"/>
      <c r="F254" s="11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" x14ac:dyDescent="0.3">
      <c r="A255" s="1"/>
      <c r="B255" s="110"/>
      <c r="C255" s="110"/>
      <c r="D255" s="110"/>
      <c r="E255" s="110"/>
      <c r="F255" s="11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" x14ac:dyDescent="0.3">
      <c r="A256" s="1"/>
      <c r="B256" s="110"/>
      <c r="C256" s="110"/>
      <c r="D256" s="110"/>
      <c r="E256" s="110"/>
      <c r="F256" s="11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" x14ac:dyDescent="0.3">
      <c r="A257" s="1"/>
      <c r="B257" s="110"/>
      <c r="C257" s="110"/>
      <c r="D257" s="110"/>
      <c r="E257" s="110"/>
      <c r="F257" s="11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" x14ac:dyDescent="0.3">
      <c r="A258" s="1"/>
      <c r="B258" s="110"/>
      <c r="C258" s="110"/>
      <c r="D258" s="110"/>
      <c r="E258" s="110"/>
      <c r="F258" s="11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" x14ac:dyDescent="0.3">
      <c r="A259" s="1"/>
      <c r="B259" s="110"/>
      <c r="C259" s="110"/>
      <c r="D259" s="110"/>
      <c r="E259" s="110"/>
      <c r="F259" s="11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" x14ac:dyDescent="0.3">
      <c r="A260" s="1"/>
      <c r="B260" s="110"/>
      <c r="C260" s="110"/>
      <c r="D260" s="110"/>
      <c r="E260" s="110"/>
      <c r="F260" s="11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" x14ac:dyDescent="0.3">
      <c r="A261" s="1"/>
      <c r="B261" s="110"/>
      <c r="C261" s="110"/>
      <c r="D261" s="110"/>
      <c r="E261" s="110"/>
      <c r="F261" s="11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" x14ac:dyDescent="0.3">
      <c r="A262" s="1"/>
      <c r="B262" s="110"/>
      <c r="C262" s="110"/>
      <c r="D262" s="110"/>
      <c r="E262" s="110"/>
      <c r="F262" s="11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" x14ac:dyDescent="0.3">
      <c r="A263" s="1"/>
      <c r="B263" s="110"/>
      <c r="C263" s="110"/>
      <c r="D263" s="110"/>
      <c r="E263" s="110"/>
      <c r="F263" s="11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" x14ac:dyDescent="0.3">
      <c r="A264" s="1"/>
      <c r="B264" s="110"/>
      <c r="C264" s="110"/>
      <c r="D264" s="110"/>
      <c r="E264" s="110"/>
      <c r="F264" s="11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" x14ac:dyDescent="0.3">
      <c r="A265" s="1"/>
      <c r="B265" s="110"/>
      <c r="C265" s="110"/>
      <c r="D265" s="110"/>
      <c r="E265" s="110"/>
      <c r="F265" s="11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" x14ac:dyDescent="0.3">
      <c r="A266" s="1"/>
      <c r="B266" s="110"/>
      <c r="C266" s="110"/>
      <c r="D266" s="110"/>
      <c r="E266" s="110"/>
      <c r="F266" s="11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" x14ac:dyDescent="0.3">
      <c r="A267" s="1"/>
      <c r="B267" s="110"/>
      <c r="C267" s="110"/>
      <c r="D267" s="110"/>
      <c r="E267" s="110"/>
      <c r="F267" s="11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" x14ac:dyDescent="0.3">
      <c r="A268" s="1"/>
      <c r="B268" s="110"/>
      <c r="C268" s="110"/>
      <c r="D268" s="110"/>
      <c r="E268" s="110"/>
      <c r="F268" s="11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" x14ac:dyDescent="0.3">
      <c r="A269" s="1"/>
      <c r="B269" s="110"/>
      <c r="C269" s="110"/>
      <c r="D269" s="110"/>
      <c r="E269" s="110"/>
      <c r="F269" s="11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" x14ac:dyDescent="0.3">
      <c r="A270" s="1"/>
      <c r="B270" s="110"/>
      <c r="C270" s="110"/>
      <c r="D270" s="110"/>
      <c r="E270" s="110"/>
      <c r="F270" s="11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" x14ac:dyDescent="0.3">
      <c r="A271" s="1"/>
      <c r="B271" s="110"/>
      <c r="C271" s="110"/>
      <c r="D271" s="110"/>
      <c r="E271" s="110"/>
      <c r="F271" s="11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" x14ac:dyDescent="0.3">
      <c r="A272" s="1"/>
      <c r="B272" s="110"/>
      <c r="C272" s="110"/>
      <c r="D272" s="110"/>
      <c r="E272" s="110"/>
      <c r="F272" s="11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" x14ac:dyDescent="0.3">
      <c r="A273" s="1"/>
      <c r="B273" s="110"/>
      <c r="C273" s="110"/>
      <c r="D273" s="110"/>
      <c r="E273" s="110"/>
      <c r="F273" s="11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" x14ac:dyDescent="0.3">
      <c r="A274" s="1"/>
      <c r="B274" s="110"/>
      <c r="C274" s="110"/>
      <c r="D274" s="110"/>
      <c r="E274" s="110"/>
      <c r="F274" s="11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" x14ac:dyDescent="0.3">
      <c r="A275" s="1"/>
      <c r="B275" s="110"/>
      <c r="C275" s="110"/>
      <c r="D275" s="110"/>
      <c r="E275" s="110"/>
      <c r="F275" s="11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" x14ac:dyDescent="0.3">
      <c r="A276" s="1"/>
      <c r="B276" s="110"/>
      <c r="C276" s="110"/>
      <c r="D276" s="110"/>
      <c r="E276" s="110"/>
      <c r="F276" s="11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" x14ac:dyDescent="0.3">
      <c r="A277" s="1"/>
      <c r="B277" s="110"/>
      <c r="C277" s="110"/>
      <c r="D277" s="110"/>
      <c r="E277" s="110"/>
      <c r="F277" s="11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" x14ac:dyDescent="0.3">
      <c r="A278" s="1"/>
      <c r="B278" s="110"/>
      <c r="C278" s="110"/>
      <c r="D278" s="110"/>
      <c r="E278" s="110"/>
      <c r="F278" s="11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" x14ac:dyDescent="0.3">
      <c r="A279" s="1"/>
      <c r="B279" s="110"/>
      <c r="C279" s="110"/>
      <c r="D279" s="110"/>
      <c r="E279" s="110"/>
      <c r="F279" s="11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" x14ac:dyDescent="0.3">
      <c r="A280" s="1"/>
      <c r="B280" s="110"/>
      <c r="C280" s="110"/>
      <c r="D280" s="110"/>
      <c r="E280" s="110"/>
      <c r="F280" s="11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" x14ac:dyDescent="0.3">
      <c r="A281" s="1"/>
      <c r="B281" s="110"/>
      <c r="C281" s="110"/>
      <c r="D281" s="110"/>
      <c r="E281" s="110"/>
      <c r="F281" s="11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" x14ac:dyDescent="0.3">
      <c r="A282" s="1"/>
      <c r="B282" s="110"/>
      <c r="C282" s="110"/>
      <c r="D282" s="110"/>
      <c r="E282" s="110"/>
      <c r="F282" s="11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" x14ac:dyDescent="0.3">
      <c r="A283" s="1"/>
      <c r="B283" s="110"/>
      <c r="C283" s="110"/>
      <c r="D283" s="110"/>
      <c r="E283" s="110"/>
      <c r="F283" s="11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" x14ac:dyDescent="0.3">
      <c r="A284" s="1"/>
      <c r="B284" s="110"/>
      <c r="C284" s="110"/>
      <c r="D284" s="110"/>
      <c r="E284" s="110"/>
      <c r="F284" s="11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" x14ac:dyDescent="0.3">
      <c r="A285" s="1"/>
      <c r="B285" s="110"/>
      <c r="C285" s="110"/>
      <c r="D285" s="110"/>
      <c r="E285" s="110"/>
      <c r="F285" s="11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" x14ac:dyDescent="0.3">
      <c r="A286" s="1"/>
      <c r="B286" s="110"/>
      <c r="C286" s="110"/>
      <c r="D286" s="110"/>
      <c r="E286" s="110"/>
      <c r="F286" s="11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" x14ac:dyDescent="0.3">
      <c r="A287" s="1"/>
      <c r="B287" s="110"/>
      <c r="C287" s="110"/>
      <c r="D287" s="110"/>
      <c r="E287" s="110"/>
      <c r="F287" s="11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" x14ac:dyDescent="0.3">
      <c r="A288" s="1"/>
      <c r="B288" s="110"/>
      <c r="C288" s="110"/>
      <c r="D288" s="110"/>
      <c r="E288" s="110"/>
      <c r="F288" s="11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" x14ac:dyDescent="0.3">
      <c r="A289" s="1"/>
      <c r="B289" s="110"/>
      <c r="C289" s="110"/>
      <c r="D289" s="110"/>
      <c r="E289" s="110"/>
      <c r="F289" s="11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" x14ac:dyDescent="0.3">
      <c r="A290" s="1"/>
      <c r="B290" s="110"/>
      <c r="C290" s="110"/>
      <c r="D290" s="110"/>
      <c r="E290" s="110"/>
      <c r="F290" s="11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" x14ac:dyDescent="0.3">
      <c r="A291" s="1"/>
      <c r="B291" s="110"/>
      <c r="C291" s="110"/>
      <c r="D291" s="110"/>
      <c r="E291" s="110"/>
      <c r="F291" s="11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" x14ac:dyDescent="0.3">
      <c r="A292" s="1"/>
      <c r="B292" s="110"/>
      <c r="C292" s="110"/>
      <c r="D292" s="110"/>
      <c r="E292" s="110"/>
      <c r="F292" s="11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" x14ac:dyDescent="0.3">
      <c r="A293" s="1"/>
      <c r="B293" s="110"/>
      <c r="C293" s="110"/>
      <c r="D293" s="110"/>
      <c r="E293" s="110"/>
      <c r="F293" s="11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" x14ac:dyDescent="0.3">
      <c r="A294" s="1"/>
      <c r="B294" s="110"/>
      <c r="C294" s="110"/>
      <c r="D294" s="110"/>
      <c r="E294" s="110"/>
      <c r="F294" s="11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" x14ac:dyDescent="0.3">
      <c r="A295" s="1"/>
      <c r="B295" s="110"/>
      <c r="C295" s="110"/>
      <c r="D295" s="110"/>
      <c r="E295" s="110"/>
      <c r="F295" s="11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" x14ac:dyDescent="0.3">
      <c r="A296" s="1"/>
      <c r="B296" s="110"/>
      <c r="C296" s="110"/>
      <c r="D296" s="110"/>
      <c r="E296" s="110"/>
      <c r="F296" s="11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" x14ac:dyDescent="0.3">
      <c r="A297" s="1"/>
      <c r="B297" s="110"/>
      <c r="C297" s="110"/>
      <c r="D297" s="110"/>
      <c r="E297" s="110"/>
      <c r="F297" s="11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" x14ac:dyDescent="0.3">
      <c r="A298" s="1"/>
      <c r="B298" s="110"/>
      <c r="C298" s="110"/>
      <c r="D298" s="110"/>
      <c r="E298" s="110"/>
      <c r="F298" s="11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" x14ac:dyDescent="0.3">
      <c r="A299" s="1"/>
      <c r="B299" s="110"/>
      <c r="C299" s="110"/>
      <c r="D299" s="110"/>
      <c r="E299" s="110"/>
      <c r="F299" s="11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" x14ac:dyDescent="0.3">
      <c r="A300" s="1"/>
      <c r="B300" s="110"/>
      <c r="C300" s="110"/>
      <c r="D300" s="110"/>
      <c r="E300" s="110"/>
      <c r="F300" s="11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" x14ac:dyDescent="0.3">
      <c r="A301" s="1"/>
      <c r="B301" s="110"/>
      <c r="C301" s="110"/>
      <c r="D301" s="110"/>
      <c r="E301" s="110"/>
      <c r="F301" s="11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" x14ac:dyDescent="0.3">
      <c r="A302" s="1"/>
      <c r="B302" s="110"/>
      <c r="C302" s="110"/>
      <c r="D302" s="110"/>
      <c r="E302" s="110"/>
      <c r="F302" s="11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" x14ac:dyDescent="0.3">
      <c r="A303" s="1"/>
      <c r="B303" s="110"/>
      <c r="C303" s="110"/>
      <c r="D303" s="110"/>
      <c r="E303" s="110"/>
      <c r="F303" s="11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" x14ac:dyDescent="0.3">
      <c r="A304" s="1"/>
      <c r="B304" s="110"/>
      <c r="C304" s="110"/>
      <c r="D304" s="110"/>
      <c r="E304" s="110"/>
      <c r="F304" s="11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" x14ac:dyDescent="0.3">
      <c r="A305" s="1"/>
      <c r="B305" s="110"/>
      <c r="C305" s="110"/>
      <c r="D305" s="110"/>
      <c r="E305" s="110"/>
      <c r="F305" s="11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" x14ac:dyDescent="0.3">
      <c r="A306" s="1"/>
      <c r="B306" s="110"/>
      <c r="C306" s="110"/>
      <c r="D306" s="110"/>
      <c r="E306" s="110"/>
      <c r="F306" s="11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" x14ac:dyDescent="0.3">
      <c r="A307" s="1"/>
      <c r="B307" s="110"/>
      <c r="C307" s="110"/>
      <c r="D307" s="110"/>
      <c r="E307" s="110"/>
      <c r="F307" s="11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" x14ac:dyDescent="0.3">
      <c r="A308" s="1"/>
      <c r="B308" s="110"/>
      <c r="C308" s="110"/>
      <c r="D308" s="110"/>
      <c r="E308" s="110"/>
      <c r="F308" s="11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" x14ac:dyDescent="0.3">
      <c r="A309" s="1"/>
      <c r="B309" s="110"/>
      <c r="C309" s="110"/>
      <c r="D309" s="110"/>
      <c r="E309" s="110"/>
      <c r="F309" s="11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" x14ac:dyDescent="0.3">
      <c r="A310" s="1"/>
      <c r="B310" s="110"/>
      <c r="C310" s="110"/>
      <c r="D310" s="110"/>
      <c r="E310" s="110"/>
      <c r="F310" s="11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" x14ac:dyDescent="0.3">
      <c r="A311" s="1"/>
      <c r="B311" s="110"/>
      <c r="C311" s="110"/>
      <c r="D311" s="110"/>
      <c r="E311" s="110"/>
      <c r="F311" s="11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" x14ac:dyDescent="0.3">
      <c r="A312" s="1"/>
      <c r="B312" s="110"/>
      <c r="C312" s="110"/>
      <c r="D312" s="110"/>
      <c r="E312" s="110"/>
      <c r="F312" s="11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" x14ac:dyDescent="0.3">
      <c r="A313" s="1"/>
      <c r="B313" s="110"/>
      <c r="C313" s="110"/>
      <c r="D313" s="110"/>
      <c r="E313" s="110"/>
      <c r="F313" s="11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" x14ac:dyDescent="0.3">
      <c r="A314" s="1"/>
      <c r="B314" s="110"/>
      <c r="C314" s="110"/>
      <c r="D314" s="110"/>
      <c r="E314" s="110"/>
      <c r="F314" s="11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" x14ac:dyDescent="0.3">
      <c r="A315" s="1"/>
      <c r="B315" s="110"/>
      <c r="C315" s="110"/>
      <c r="D315" s="110"/>
      <c r="E315" s="110"/>
      <c r="F315" s="11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" x14ac:dyDescent="0.3">
      <c r="A316" s="1"/>
      <c r="B316" s="110"/>
      <c r="C316" s="110"/>
      <c r="D316" s="110"/>
      <c r="E316" s="110"/>
      <c r="F316" s="11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" x14ac:dyDescent="0.3">
      <c r="A317" s="1"/>
      <c r="B317" s="110"/>
      <c r="C317" s="110"/>
      <c r="D317" s="110"/>
      <c r="E317" s="110"/>
      <c r="F317" s="11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" x14ac:dyDescent="0.3">
      <c r="A318" s="1"/>
      <c r="B318" s="110"/>
      <c r="C318" s="110"/>
      <c r="D318" s="110"/>
      <c r="E318" s="110"/>
      <c r="F318" s="11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" x14ac:dyDescent="0.3">
      <c r="A319" s="1"/>
      <c r="B319" s="110"/>
      <c r="C319" s="110"/>
      <c r="D319" s="110"/>
      <c r="E319" s="110"/>
      <c r="F319" s="11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" x14ac:dyDescent="0.3">
      <c r="A320" s="1"/>
      <c r="B320" s="110"/>
      <c r="C320" s="110"/>
      <c r="D320" s="110"/>
      <c r="E320" s="110"/>
      <c r="F320" s="11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" x14ac:dyDescent="0.3">
      <c r="A321" s="1"/>
      <c r="B321" s="110"/>
      <c r="C321" s="110"/>
      <c r="D321" s="110"/>
      <c r="E321" s="110"/>
      <c r="F321" s="11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" x14ac:dyDescent="0.3">
      <c r="A322" s="1"/>
      <c r="B322" s="110"/>
      <c r="C322" s="110"/>
      <c r="D322" s="110"/>
      <c r="E322" s="110"/>
      <c r="F322" s="11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" x14ac:dyDescent="0.3">
      <c r="A323" s="1"/>
      <c r="B323" s="110"/>
      <c r="C323" s="110"/>
      <c r="D323" s="110"/>
      <c r="E323" s="110"/>
      <c r="F323" s="11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" x14ac:dyDescent="0.3">
      <c r="A324" s="1"/>
      <c r="B324" s="110"/>
      <c r="C324" s="110"/>
      <c r="D324" s="110"/>
      <c r="E324" s="110"/>
      <c r="F324" s="11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" x14ac:dyDescent="0.3">
      <c r="A325" s="1"/>
      <c r="B325" s="110"/>
      <c r="C325" s="110"/>
      <c r="D325" s="110"/>
      <c r="E325" s="110"/>
      <c r="F325" s="11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" x14ac:dyDescent="0.3">
      <c r="A326" s="1"/>
      <c r="B326" s="110"/>
      <c r="C326" s="110"/>
      <c r="D326" s="110"/>
      <c r="E326" s="110"/>
      <c r="F326" s="11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" x14ac:dyDescent="0.3">
      <c r="A327" s="1"/>
      <c r="B327" s="110"/>
      <c r="C327" s="110"/>
      <c r="D327" s="110"/>
      <c r="E327" s="110"/>
      <c r="F327" s="11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" x14ac:dyDescent="0.3">
      <c r="A328" s="1"/>
      <c r="B328" s="110"/>
      <c r="C328" s="110"/>
      <c r="D328" s="110"/>
      <c r="E328" s="110"/>
      <c r="F328" s="11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" x14ac:dyDescent="0.3">
      <c r="A329" s="1"/>
      <c r="B329" s="110"/>
      <c r="C329" s="110"/>
      <c r="D329" s="110"/>
      <c r="E329" s="110"/>
      <c r="F329" s="11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" x14ac:dyDescent="0.3">
      <c r="A330" s="1"/>
      <c r="B330" s="110"/>
      <c r="C330" s="110"/>
      <c r="D330" s="110"/>
      <c r="E330" s="110"/>
      <c r="F330" s="11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" x14ac:dyDescent="0.3">
      <c r="A331" s="1"/>
      <c r="B331" s="110"/>
      <c r="C331" s="110"/>
      <c r="D331" s="110"/>
      <c r="E331" s="110"/>
      <c r="F331" s="11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" x14ac:dyDescent="0.3">
      <c r="A332" s="1"/>
      <c r="B332" s="110"/>
      <c r="C332" s="110"/>
      <c r="D332" s="110"/>
      <c r="E332" s="110"/>
      <c r="F332" s="11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" x14ac:dyDescent="0.3">
      <c r="A333" s="1"/>
      <c r="B333" s="110"/>
      <c r="C333" s="110"/>
      <c r="D333" s="110"/>
      <c r="E333" s="110"/>
      <c r="F333" s="11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" x14ac:dyDescent="0.3">
      <c r="A334" s="1"/>
      <c r="B334" s="110"/>
      <c r="C334" s="110"/>
      <c r="D334" s="110"/>
      <c r="E334" s="110"/>
      <c r="F334" s="11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" x14ac:dyDescent="0.3">
      <c r="A335" s="1"/>
      <c r="B335" s="110"/>
      <c r="C335" s="110"/>
      <c r="D335" s="110"/>
      <c r="E335" s="110"/>
      <c r="F335" s="11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" x14ac:dyDescent="0.3">
      <c r="A336" s="1"/>
      <c r="B336" s="110"/>
      <c r="C336" s="110"/>
      <c r="D336" s="110"/>
      <c r="E336" s="110"/>
      <c r="F336" s="11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" x14ac:dyDescent="0.3">
      <c r="A337" s="1"/>
      <c r="B337" s="110"/>
      <c r="C337" s="110"/>
      <c r="D337" s="110"/>
      <c r="E337" s="110"/>
      <c r="F337" s="11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" x14ac:dyDescent="0.3">
      <c r="A338" s="1"/>
      <c r="B338" s="110"/>
      <c r="C338" s="110"/>
      <c r="D338" s="110"/>
      <c r="E338" s="110"/>
      <c r="F338" s="11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" x14ac:dyDescent="0.3">
      <c r="A339" s="1"/>
      <c r="B339" s="110"/>
      <c r="C339" s="110"/>
      <c r="D339" s="110"/>
      <c r="E339" s="110"/>
      <c r="F339" s="11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" x14ac:dyDescent="0.3">
      <c r="A340" s="1"/>
      <c r="B340" s="110"/>
      <c r="C340" s="110"/>
      <c r="D340" s="110"/>
      <c r="E340" s="110"/>
      <c r="F340" s="11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" x14ac:dyDescent="0.3">
      <c r="A341" s="1"/>
      <c r="B341" s="110"/>
      <c r="C341" s="110"/>
      <c r="D341" s="110"/>
      <c r="E341" s="110"/>
      <c r="F341" s="11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" x14ac:dyDescent="0.3">
      <c r="A342" s="1"/>
      <c r="B342" s="110"/>
      <c r="C342" s="110"/>
      <c r="D342" s="110"/>
      <c r="E342" s="110"/>
      <c r="F342" s="11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" x14ac:dyDescent="0.3">
      <c r="A343" s="1"/>
      <c r="B343" s="110"/>
      <c r="C343" s="110"/>
      <c r="D343" s="110"/>
      <c r="E343" s="110"/>
      <c r="F343" s="11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" x14ac:dyDescent="0.3">
      <c r="A344" s="1"/>
      <c r="B344" s="110"/>
      <c r="C344" s="110"/>
      <c r="D344" s="110"/>
      <c r="E344" s="110"/>
      <c r="F344" s="11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" x14ac:dyDescent="0.3">
      <c r="A345" s="1"/>
      <c r="B345" s="110"/>
      <c r="C345" s="110"/>
      <c r="D345" s="110"/>
      <c r="E345" s="110"/>
      <c r="F345" s="11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" x14ac:dyDescent="0.3">
      <c r="A346" s="1"/>
      <c r="B346" s="110"/>
      <c r="C346" s="110"/>
      <c r="D346" s="110"/>
      <c r="E346" s="110"/>
      <c r="F346" s="11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" x14ac:dyDescent="0.3">
      <c r="A347" s="1"/>
      <c r="B347" s="110"/>
      <c r="C347" s="110"/>
      <c r="D347" s="110"/>
      <c r="E347" s="110"/>
      <c r="F347" s="11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" x14ac:dyDescent="0.3">
      <c r="A348" s="1"/>
      <c r="B348" s="110"/>
      <c r="C348" s="110"/>
      <c r="D348" s="110"/>
      <c r="E348" s="110"/>
      <c r="F348" s="11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" x14ac:dyDescent="0.3">
      <c r="A349" s="1"/>
      <c r="B349" s="110"/>
      <c r="C349" s="110"/>
      <c r="D349" s="110"/>
      <c r="E349" s="110"/>
      <c r="F349" s="11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" x14ac:dyDescent="0.3">
      <c r="A350" s="1"/>
      <c r="B350" s="110"/>
      <c r="C350" s="110"/>
      <c r="D350" s="110"/>
      <c r="E350" s="110"/>
      <c r="F350" s="11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" x14ac:dyDescent="0.3">
      <c r="A351" s="1"/>
      <c r="B351" s="110"/>
      <c r="C351" s="110"/>
      <c r="D351" s="110"/>
      <c r="E351" s="110"/>
      <c r="F351" s="11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" x14ac:dyDescent="0.3">
      <c r="A352" s="1"/>
      <c r="B352" s="110"/>
      <c r="C352" s="110"/>
      <c r="D352" s="110"/>
      <c r="E352" s="110"/>
      <c r="F352" s="11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" x14ac:dyDescent="0.3">
      <c r="A353" s="1"/>
      <c r="B353" s="110"/>
      <c r="C353" s="110"/>
      <c r="D353" s="110"/>
      <c r="E353" s="110"/>
      <c r="F353" s="11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" x14ac:dyDescent="0.3">
      <c r="A354" s="1"/>
      <c r="B354" s="110"/>
      <c r="C354" s="110"/>
      <c r="D354" s="110"/>
      <c r="E354" s="110"/>
      <c r="F354" s="11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" x14ac:dyDescent="0.3">
      <c r="A355" s="1"/>
      <c r="B355" s="110"/>
      <c r="C355" s="110"/>
      <c r="D355" s="110"/>
      <c r="E355" s="110"/>
      <c r="F355" s="11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" x14ac:dyDescent="0.3">
      <c r="A356" s="1"/>
      <c r="B356" s="110"/>
      <c r="C356" s="110"/>
      <c r="D356" s="110"/>
      <c r="E356" s="110"/>
      <c r="F356" s="11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" x14ac:dyDescent="0.3">
      <c r="A357" s="1"/>
      <c r="B357" s="110"/>
      <c r="C357" s="110"/>
      <c r="D357" s="110"/>
      <c r="E357" s="110"/>
      <c r="F357" s="11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" x14ac:dyDescent="0.3">
      <c r="A358" s="1"/>
      <c r="B358" s="110"/>
      <c r="C358" s="110"/>
      <c r="D358" s="110"/>
      <c r="E358" s="110"/>
      <c r="F358" s="11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" x14ac:dyDescent="0.3">
      <c r="A359" s="1"/>
      <c r="B359" s="110"/>
      <c r="C359" s="110"/>
      <c r="D359" s="110"/>
      <c r="E359" s="110"/>
      <c r="F359" s="11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" x14ac:dyDescent="0.3">
      <c r="A360" s="1"/>
      <c r="B360" s="110"/>
      <c r="C360" s="110"/>
      <c r="D360" s="110"/>
      <c r="E360" s="110"/>
      <c r="F360" s="11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" x14ac:dyDescent="0.3">
      <c r="A361" s="1"/>
      <c r="B361" s="110"/>
      <c r="C361" s="110"/>
      <c r="D361" s="110"/>
      <c r="E361" s="110"/>
      <c r="F361" s="11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" x14ac:dyDescent="0.3">
      <c r="A362" s="1"/>
      <c r="B362" s="110"/>
      <c r="C362" s="110"/>
      <c r="D362" s="110"/>
      <c r="E362" s="110"/>
      <c r="F362" s="11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" x14ac:dyDescent="0.3">
      <c r="A363" s="1"/>
      <c r="B363" s="110"/>
      <c r="C363" s="110"/>
      <c r="D363" s="110"/>
      <c r="E363" s="110"/>
      <c r="F363" s="11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" x14ac:dyDescent="0.3">
      <c r="A364" s="1"/>
      <c r="B364" s="110"/>
      <c r="C364" s="110"/>
      <c r="D364" s="110"/>
      <c r="E364" s="110"/>
      <c r="F364" s="11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" x14ac:dyDescent="0.3">
      <c r="A365" s="1"/>
      <c r="B365" s="110"/>
      <c r="C365" s="110"/>
      <c r="D365" s="110"/>
      <c r="E365" s="110"/>
      <c r="F365" s="11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" x14ac:dyDescent="0.3">
      <c r="A366" s="1"/>
      <c r="B366" s="110"/>
      <c r="C366" s="110"/>
      <c r="D366" s="110"/>
      <c r="E366" s="110"/>
      <c r="F366" s="11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" x14ac:dyDescent="0.3">
      <c r="A367" s="1"/>
      <c r="B367" s="110"/>
      <c r="C367" s="110"/>
      <c r="D367" s="110"/>
      <c r="E367" s="110"/>
      <c r="F367" s="11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" x14ac:dyDescent="0.3">
      <c r="A368" s="1"/>
      <c r="B368" s="110"/>
      <c r="C368" s="110"/>
      <c r="D368" s="110"/>
      <c r="E368" s="110"/>
      <c r="F368" s="11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" x14ac:dyDescent="0.3">
      <c r="A369" s="1"/>
      <c r="B369" s="110"/>
      <c r="C369" s="110"/>
      <c r="D369" s="110"/>
      <c r="E369" s="110"/>
      <c r="F369" s="11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" x14ac:dyDescent="0.3">
      <c r="A370" s="1"/>
      <c r="B370" s="110"/>
      <c r="C370" s="110"/>
      <c r="D370" s="110"/>
      <c r="E370" s="110"/>
      <c r="F370" s="11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" x14ac:dyDescent="0.3">
      <c r="A371" s="1"/>
      <c r="B371" s="110"/>
      <c r="C371" s="110"/>
      <c r="D371" s="110"/>
      <c r="E371" s="110"/>
      <c r="F371" s="11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" x14ac:dyDescent="0.3">
      <c r="A372" s="1"/>
      <c r="B372" s="110"/>
      <c r="C372" s="110"/>
      <c r="D372" s="110"/>
      <c r="E372" s="110"/>
      <c r="F372" s="11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" x14ac:dyDescent="0.3">
      <c r="A373" s="1"/>
      <c r="B373" s="110"/>
      <c r="C373" s="110"/>
      <c r="D373" s="110"/>
      <c r="E373" s="110"/>
      <c r="F373" s="11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" x14ac:dyDescent="0.3">
      <c r="A374" s="1"/>
      <c r="B374" s="110"/>
      <c r="C374" s="110"/>
      <c r="D374" s="110"/>
      <c r="E374" s="110"/>
      <c r="F374" s="11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" x14ac:dyDescent="0.3">
      <c r="A375" s="1"/>
      <c r="B375" s="110"/>
      <c r="C375" s="110"/>
      <c r="D375" s="110"/>
      <c r="E375" s="110"/>
      <c r="F375" s="11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" x14ac:dyDescent="0.3">
      <c r="A376" s="1"/>
      <c r="B376" s="110"/>
      <c r="C376" s="110"/>
      <c r="D376" s="110"/>
      <c r="E376" s="110"/>
      <c r="F376" s="11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" x14ac:dyDescent="0.3">
      <c r="A377" s="1"/>
      <c r="B377" s="110"/>
      <c r="C377" s="110"/>
      <c r="D377" s="110"/>
      <c r="E377" s="110"/>
      <c r="F377" s="110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" x14ac:dyDescent="0.3">
      <c r="A378" s="1"/>
      <c r="B378" s="110"/>
      <c r="C378" s="110"/>
      <c r="D378" s="110"/>
      <c r="E378" s="110"/>
      <c r="F378" s="110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" x14ac:dyDescent="0.3">
      <c r="A379" s="1"/>
      <c r="B379" s="110"/>
      <c r="C379" s="110"/>
      <c r="D379" s="110"/>
      <c r="E379" s="110"/>
      <c r="F379" s="110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" x14ac:dyDescent="0.3">
      <c r="A380" s="1"/>
      <c r="B380" s="110"/>
      <c r="C380" s="110"/>
      <c r="D380" s="110"/>
      <c r="E380" s="110"/>
      <c r="F380" s="110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" x14ac:dyDescent="0.3">
      <c r="A381" s="1"/>
      <c r="B381" s="110"/>
      <c r="C381" s="110"/>
      <c r="D381" s="110"/>
      <c r="E381" s="110"/>
      <c r="F381" s="110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" x14ac:dyDescent="0.3">
      <c r="A382" s="1"/>
      <c r="B382" s="110"/>
      <c r="C382" s="110"/>
      <c r="D382" s="110"/>
      <c r="E382" s="110"/>
      <c r="F382" s="110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" x14ac:dyDescent="0.3">
      <c r="A383" s="1"/>
      <c r="B383" s="110"/>
      <c r="C383" s="110"/>
      <c r="D383" s="110"/>
      <c r="E383" s="110"/>
      <c r="F383" s="110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" x14ac:dyDescent="0.3">
      <c r="A384" s="1"/>
      <c r="B384" s="110"/>
      <c r="C384" s="110"/>
      <c r="D384" s="110"/>
      <c r="E384" s="110"/>
      <c r="F384" s="110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" x14ac:dyDescent="0.3">
      <c r="A385" s="1"/>
      <c r="B385" s="110"/>
      <c r="C385" s="110"/>
      <c r="D385" s="110"/>
      <c r="E385" s="110"/>
      <c r="F385" s="110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" x14ac:dyDescent="0.3">
      <c r="A386" s="1"/>
      <c r="B386" s="110"/>
      <c r="C386" s="110"/>
      <c r="D386" s="110"/>
      <c r="E386" s="110"/>
      <c r="F386" s="110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" x14ac:dyDescent="0.3">
      <c r="A387" s="1"/>
      <c r="B387" s="110"/>
      <c r="C387" s="110"/>
      <c r="D387" s="110"/>
      <c r="E387" s="110"/>
      <c r="F387" s="110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" x14ac:dyDescent="0.3">
      <c r="A388" s="1"/>
      <c r="B388" s="110"/>
      <c r="C388" s="110"/>
      <c r="D388" s="110"/>
      <c r="E388" s="110"/>
      <c r="F388" s="110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" x14ac:dyDescent="0.3">
      <c r="A389" s="1"/>
      <c r="B389" s="110"/>
      <c r="C389" s="110"/>
      <c r="D389" s="110"/>
      <c r="E389" s="110"/>
      <c r="F389" s="110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" x14ac:dyDescent="0.3">
      <c r="A390" s="1"/>
      <c r="B390" s="110"/>
      <c r="C390" s="110"/>
      <c r="D390" s="110"/>
      <c r="E390" s="110"/>
      <c r="F390" s="110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" x14ac:dyDescent="0.3">
      <c r="A391" s="1"/>
      <c r="B391" s="110"/>
      <c r="C391" s="110"/>
      <c r="D391" s="110"/>
      <c r="E391" s="110"/>
      <c r="F391" s="110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" x14ac:dyDescent="0.3">
      <c r="A392" s="1"/>
      <c r="B392" s="110"/>
      <c r="C392" s="110"/>
      <c r="D392" s="110"/>
      <c r="E392" s="110"/>
      <c r="F392" s="110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" x14ac:dyDescent="0.3">
      <c r="A393" s="1"/>
      <c r="B393" s="110"/>
      <c r="C393" s="110"/>
      <c r="D393" s="110"/>
      <c r="E393" s="110"/>
      <c r="F393" s="110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" x14ac:dyDescent="0.3">
      <c r="A394" s="1"/>
      <c r="B394" s="110"/>
      <c r="C394" s="110"/>
      <c r="D394" s="110"/>
      <c r="E394" s="110"/>
      <c r="F394" s="110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" x14ac:dyDescent="0.3">
      <c r="A395" s="1"/>
      <c r="B395" s="110"/>
      <c r="C395" s="110"/>
      <c r="D395" s="110"/>
      <c r="E395" s="110"/>
      <c r="F395" s="110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" x14ac:dyDescent="0.3">
      <c r="A396" s="1"/>
      <c r="B396" s="110"/>
      <c r="C396" s="110"/>
      <c r="D396" s="110"/>
      <c r="E396" s="110"/>
      <c r="F396" s="110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" x14ac:dyDescent="0.3">
      <c r="A397" s="1"/>
      <c r="B397" s="110"/>
      <c r="C397" s="110"/>
      <c r="D397" s="110"/>
      <c r="E397" s="110"/>
      <c r="F397" s="110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" x14ac:dyDescent="0.3">
      <c r="A398" s="1"/>
      <c r="B398" s="110"/>
      <c r="C398" s="110"/>
      <c r="D398" s="110"/>
      <c r="E398" s="110"/>
      <c r="F398" s="110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" x14ac:dyDescent="0.3">
      <c r="A399" s="1"/>
      <c r="B399" s="110"/>
      <c r="C399" s="110"/>
      <c r="D399" s="110"/>
      <c r="E399" s="110"/>
      <c r="F399" s="110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" x14ac:dyDescent="0.3">
      <c r="A400" s="1"/>
      <c r="B400" s="110"/>
      <c r="C400" s="110"/>
      <c r="D400" s="110"/>
      <c r="E400" s="110"/>
      <c r="F400" s="110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" x14ac:dyDescent="0.3">
      <c r="A401" s="1"/>
      <c r="B401" s="110"/>
      <c r="C401" s="110"/>
      <c r="D401" s="110"/>
      <c r="E401" s="110"/>
      <c r="F401" s="110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" x14ac:dyDescent="0.3">
      <c r="A402" s="1"/>
      <c r="B402" s="110"/>
      <c r="C402" s="110"/>
      <c r="D402" s="110"/>
      <c r="E402" s="110"/>
      <c r="F402" s="110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" x14ac:dyDescent="0.3">
      <c r="A403" s="1"/>
      <c r="B403" s="110"/>
      <c r="C403" s="110"/>
      <c r="D403" s="110"/>
      <c r="E403" s="110"/>
      <c r="F403" s="110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" x14ac:dyDescent="0.3">
      <c r="A404" s="1"/>
      <c r="B404" s="110"/>
      <c r="C404" s="110"/>
      <c r="D404" s="110"/>
      <c r="E404" s="110"/>
      <c r="F404" s="110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" x14ac:dyDescent="0.3">
      <c r="A405" s="1"/>
      <c r="B405" s="110"/>
      <c r="C405" s="110"/>
      <c r="D405" s="110"/>
      <c r="E405" s="110"/>
      <c r="F405" s="110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" x14ac:dyDescent="0.3">
      <c r="A406" s="1"/>
      <c r="B406" s="110"/>
      <c r="C406" s="110"/>
      <c r="D406" s="110"/>
      <c r="E406" s="110"/>
      <c r="F406" s="110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" x14ac:dyDescent="0.3">
      <c r="A407" s="1"/>
      <c r="B407" s="110"/>
      <c r="C407" s="110"/>
      <c r="D407" s="110"/>
      <c r="E407" s="110"/>
      <c r="F407" s="110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" x14ac:dyDescent="0.3">
      <c r="A408" s="1"/>
      <c r="B408" s="110"/>
      <c r="C408" s="110"/>
      <c r="D408" s="110"/>
      <c r="E408" s="110"/>
      <c r="F408" s="110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" x14ac:dyDescent="0.3">
      <c r="A409" s="1"/>
      <c r="B409" s="110"/>
      <c r="C409" s="110"/>
      <c r="D409" s="110"/>
      <c r="E409" s="110"/>
      <c r="F409" s="110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" x14ac:dyDescent="0.3">
      <c r="A410" s="1"/>
      <c r="B410" s="110"/>
      <c r="C410" s="110"/>
      <c r="D410" s="110"/>
      <c r="E410" s="110"/>
      <c r="F410" s="110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" x14ac:dyDescent="0.3">
      <c r="A411" s="1"/>
      <c r="B411" s="110"/>
      <c r="C411" s="110"/>
      <c r="D411" s="110"/>
      <c r="E411" s="110"/>
      <c r="F411" s="110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" x14ac:dyDescent="0.3">
      <c r="A412" s="1"/>
      <c r="B412" s="110"/>
      <c r="C412" s="110"/>
      <c r="D412" s="110"/>
      <c r="E412" s="110"/>
      <c r="F412" s="110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" x14ac:dyDescent="0.3">
      <c r="A413" s="1"/>
      <c r="B413" s="110"/>
      <c r="C413" s="110"/>
      <c r="D413" s="110"/>
      <c r="E413" s="110"/>
      <c r="F413" s="110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" x14ac:dyDescent="0.3">
      <c r="A414" s="1"/>
      <c r="B414" s="110"/>
      <c r="C414" s="110"/>
      <c r="D414" s="110"/>
      <c r="E414" s="110"/>
      <c r="F414" s="110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" x14ac:dyDescent="0.3">
      <c r="A415" s="1"/>
      <c r="B415" s="110"/>
      <c r="C415" s="110"/>
      <c r="D415" s="110"/>
      <c r="E415" s="110"/>
      <c r="F415" s="110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" x14ac:dyDescent="0.3">
      <c r="A416" s="1"/>
      <c r="B416" s="110"/>
      <c r="C416" s="110"/>
      <c r="D416" s="110"/>
      <c r="E416" s="110"/>
      <c r="F416" s="110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" x14ac:dyDescent="0.3">
      <c r="A417" s="1"/>
      <c r="B417" s="110"/>
      <c r="C417" s="110"/>
      <c r="D417" s="110"/>
      <c r="E417" s="110"/>
      <c r="F417" s="110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" x14ac:dyDescent="0.3">
      <c r="A418" s="1"/>
      <c r="B418" s="110"/>
      <c r="C418" s="110"/>
      <c r="D418" s="110"/>
      <c r="E418" s="110"/>
      <c r="F418" s="110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" x14ac:dyDescent="0.3">
      <c r="A419" s="1"/>
      <c r="B419" s="110"/>
      <c r="C419" s="110"/>
      <c r="D419" s="110"/>
      <c r="E419" s="110"/>
      <c r="F419" s="110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" x14ac:dyDescent="0.3">
      <c r="A420" s="1"/>
      <c r="B420" s="110"/>
      <c r="C420" s="110"/>
      <c r="D420" s="110"/>
      <c r="E420" s="110"/>
      <c r="F420" s="110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" x14ac:dyDescent="0.3">
      <c r="A421" s="1"/>
      <c r="B421" s="110"/>
      <c r="C421" s="110"/>
      <c r="D421" s="110"/>
      <c r="E421" s="110"/>
      <c r="F421" s="110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" x14ac:dyDescent="0.3">
      <c r="A422" s="1"/>
      <c r="B422" s="110"/>
      <c r="C422" s="110"/>
      <c r="D422" s="110"/>
      <c r="E422" s="110"/>
      <c r="F422" s="110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" x14ac:dyDescent="0.3">
      <c r="A423" s="1"/>
      <c r="B423" s="110"/>
      <c r="C423" s="110"/>
      <c r="D423" s="110"/>
      <c r="E423" s="110"/>
      <c r="F423" s="110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" x14ac:dyDescent="0.3">
      <c r="A424" s="1"/>
      <c r="B424" s="110"/>
      <c r="C424" s="110"/>
      <c r="D424" s="110"/>
      <c r="E424" s="110"/>
      <c r="F424" s="110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" x14ac:dyDescent="0.3">
      <c r="A425" s="1"/>
      <c r="B425" s="110"/>
      <c r="C425" s="110"/>
      <c r="D425" s="110"/>
      <c r="E425" s="110"/>
      <c r="F425" s="110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" x14ac:dyDescent="0.3">
      <c r="A426" s="1"/>
      <c r="B426" s="110"/>
      <c r="C426" s="110"/>
      <c r="D426" s="110"/>
      <c r="E426" s="110"/>
      <c r="F426" s="11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" x14ac:dyDescent="0.3">
      <c r="A427" s="1"/>
      <c r="B427" s="110"/>
      <c r="C427" s="110"/>
      <c r="D427" s="110"/>
      <c r="E427" s="110"/>
      <c r="F427" s="11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" x14ac:dyDescent="0.3">
      <c r="A428" s="1"/>
      <c r="B428" s="110"/>
      <c r="C428" s="110"/>
      <c r="D428" s="110"/>
      <c r="E428" s="110"/>
      <c r="F428" s="11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" x14ac:dyDescent="0.3">
      <c r="A429" s="1"/>
      <c r="B429" s="110"/>
      <c r="C429" s="110"/>
      <c r="D429" s="110"/>
      <c r="E429" s="110"/>
      <c r="F429" s="11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" x14ac:dyDescent="0.3">
      <c r="A430" s="1"/>
      <c r="B430" s="110"/>
      <c r="C430" s="110"/>
      <c r="D430" s="110"/>
      <c r="E430" s="110"/>
      <c r="F430" s="11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" x14ac:dyDescent="0.3">
      <c r="A431" s="1"/>
      <c r="B431" s="110"/>
      <c r="C431" s="110"/>
      <c r="D431" s="110"/>
      <c r="E431" s="110"/>
      <c r="F431" s="11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" x14ac:dyDescent="0.3">
      <c r="A432" s="1"/>
      <c r="B432" s="110"/>
      <c r="C432" s="110"/>
      <c r="D432" s="110"/>
      <c r="E432" s="110"/>
      <c r="F432" s="11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" x14ac:dyDescent="0.3">
      <c r="A433" s="1"/>
      <c r="B433" s="110"/>
      <c r="C433" s="110"/>
      <c r="D433" s="110"/>
      <c r="E433" s="110"/>
      <c r="F433" s="11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" x14ac:dyDescent="0.3">
      <c r="A434" s="1"/>
      <c r="B434" s="110"/>
      <c r="C434" s="110"/>
      <c r="D434" s="110"/>
      <c r="E434" s="110"/>
      <c r="F434" s="11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" x14ac:dyDescent="0.3">
      <c r="A435" s="1"/>
      <c r="B435" s="110"/>
      <c r="C435" s="110"/>
      <c r="D435" s="110"/>
      <c r="E435" s="110"/>
      <c r="F435" s="11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" x14ac:dyDescent="0.3">
      <c r="A436" s="1"/>
      <c r="B436" s="110"/>
      <c r="C436" s="110"/>
      <c r="D436" s="110"/>
      <c r="E436" s="110"/>
      <c r="F436" s="11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" x14ac:dyDescent="0.3">
      <c r="A437" s="1"/>
      <c r="B437" s="110"/>
      <c r="C437" s="110"/>
      <c r="D437" s="110"/>
      <c r="E437" s="110"/>
      <c r="F437" s="11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" x14ac:dyDescent="0.3">
      <c r="A438" s="1"/>
      <c r="B438" s="110"/>
      <c r="C438" s="110"/>
      <c r="D438" s="110"/>
      <c r="E438" s="110"/>
      <c r="F438" s="11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" x14ac:dyDescent="0.3">
      <c r="A439" s="1"/>
      <c r="B439" s="110"/>
      <c r="C439" s="110"/>
      <c r="D439" s="110"/>
      <c r="E439" s="110"/>
      <c r="F439" s="11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" x14ac:dyDescent="0.3">
      <c r="A440" s="1"/>
      <c r="B440" s="110"/>
      <c r="C440" s="110"/>
      <c r="D440" s="110"/>
      <c r="E440" s="110"/>
      <c r="F440" s="11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" x14ac:dyDescent="0.3">
      <c r="A441" s="1"/>
      <c r="B441" s="110"/>
      <c r="C441" s="110"/>
      <c r="D441" s="110"/>
      <c r="E441" s="110"/>
      <c r="F441" s="11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" x14ac:dyDescent="0.3">
      <c r="A442" s="1"/>
      <c r="B442" s="110"/>
      <c r="C442" s="110"/>
      <c r="D442" s="110"/>
      <c r="E442" s="110"/>
      <c r="F442" s="11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" x14ac:dyDescent="0.3">
      <c r="A443" s="1"/>
      <c r="B443" s="110"/>
      <c r="C443" s="110"/>
      <c r="D443" s="110"/>
      <c r="E443" s="110"/>
      <c r="F443" s="11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" x14ac:dyDescent="0.3">
      <c r="A444" s="1"/>
      <c r="B444" s="110"/>
      <c r="C444" s="110"/>
      <c r="D444" s="110"/>
      <c r="E444" s="110"/>
      <c r="F444" s="11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" x14ac:dyDescent="0.3">
      <c r="A445" s="1"/>
      <c r="B445" s="110"/>
      <c r="C445" s="110"/>
      <c r="D445" s="110"/>
      <c r="E445" s="110"/>
      <c r="F445" s="11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" x14ac:dyDescent="0.3">
      <c r="A446" s="1"/>
      <c r="B446" s="110"/>
      <c r="C446" s="110"/>
      <c r="D446" s="110"/>
      <c r="E446" s="110"/>
      <c r="F446" s="11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" x14ac:dyDescent="0.3">
      <c r="A447" s="1"/>
      <c r="B447" s="110"/>
      <c r="C447" s="110"/>
      <c r="D447" s="110"/>
      <c r="E447" s="110"/>
      <c r="F447" s="11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" x14ac:dyDescent="0.3">
      <c r="A448" s="1"/>
      <c r="B448" s="110"/>
      <c r="C448" s="110"/>
      <c r="D448" s="110"/>
      <c r="E448" s="110"/>
      <c r="F448" s="110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" x14ac:dyDescent="0.3">
      <c r="A449" s="1"/>
      <c r="B449" s="110"/>
      <c r="C449" s="110"/>
      <c r="D449" s="110"/>
      <c r="E449" s="110"/>
      <c r="F449" s="110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" x14ac:dyDescent="0.3">
      <c r="A450" s="1"/>
      <c r="B450" s="110"/>
      <c r="C450" s="110"/>
      <c r="D450" s="110"/>
      <c r="E450" s="110"/>
      <c r="F450" s="110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" x14ac:dyDescent="0.3">
      <c r="A451" s="1"/>
      <c r="B451" s="110"/>
      <c r="C451" s="110"/>
      <c r="D451" s="110"/>
      <c r="E451" s="110"/>
      <c r="F451" s="110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" x14ac:dyDescent="0.3">
      <c r="A452" s="1"/>
      <c r="B452" s="110"/>
      <c r="C452" s="110"/>
      <c r="D452" s="110"/>
      <c r="E452" s="110"/>
      <c r="F452" s="110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" x14ac:dyDescent="0.3">
      <c r="A453" s="1"/>
      <c r="B453" s="110"/>
      <c r="C453" s="110"/>
      <c r="D453" s="110"/>
      <c r="E453" s="110"/>
      <c r="F453" s="110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" x14ac:dyDescent="0.3">
      <c r="A454" s="1"/>
      <c r="B454" s="110"/>
      <c r="C454" s="110"/>
      <c r="D454" s="110"/>
      <c r="E454" s="110"/>
      <c r="F454" s="110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" x14ac:dyDescent="0.3">
      <c r="A455" s="1"/>
      <c r="B455" s="110"/>
      <c r="C455" s="110"/>
      <c r="D455" s="110"/>
      <c r="E455" s="110"/>
      <c r="F455" s="110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" x14ac:dyDescent="0.3">
      <c r="A456" s="1"/>
      <c r="B456" s="110"/>
      <c r="C456" s="110"/>
      <c r="D456" s="110"/>
      <c r="E456" s="110"/>
      <c r="F456" s="110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" x14ac:dyDescent="0.3">
      <c r="A457" s="1"/>
      <c r="B457" s="110"/>
      <c r="C457" s="110"/>
      <c r="D457" s="110"/>
      <c r="E457" s="110"/>
      <c r="F457" s="110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" x14ac:dyDescent="0.3">
      <c r="A458" s="1"/>
      <c r="B458" s="110"/>
      <c r="C458" s="110"/>
      <c r="D458" s="110"/>
      <c r="E458" s="110"/>
      <c r="F458" s="110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" x14ac:dyDescent="0.3">
      <c r="A459" s="1"/>
      <c r="B459" s="110"/>
      <c r="C459" s="110"/>
      <c r="D459" s="110"/>
      <c r="E459" s="110"/>
      <c r="F459" s="110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" x14ac:dyDescent="0.3">
      <c r="A460" s="1"/>
      <c r="B460" s="110"/>
      <c r="C460" s="110"/>
      <c r="D460" s="110"/>
      <c r="E460" s="110"/>
      <c r="F460" s="110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" x14ac:dyDescent="0.3">
      <c r="A461" s="1"/>
      <c r="B461" s="110"/>
      <c r="C461" s="110"/>
      <c r="D461" s="110"/>
      <c r="E461" s="110"/>
      <c r="F461" s="110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" x14ac:dyDescent="0.3">
      <c r="A462" s="1"/>
      <c r="B462" s="110"/>
      <c r="C462" s="110"/>
      <c r="D462" s="110"/>
      <c r="E462" s="110"/>
      <c r="F462" s="110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" x14ac:dyDescent="0.3">
      <c r="A463" s="1"/>
      <c r="B463" s="110"/>
      <c r="C463" s="110"/>
      <c r="D463" s="110"/>
      <c r="E463" s="110"/>
      <c r="F463" s="110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" x14ac:dyDescent="0.3">
      <c r="A464" s="1"/>
      <c r="B464" s="110"/>
      <c r="C464" s="110"/>
      <c r="D464" s="110"/>
      <c r="E464" s="110"/>
      <c r="F464" s="110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" x14ac:dyDescent="0.3">
      <c r="A465" s="1"/>
      <c r="B465" s="110"/>
      <c r="C465" s="110"/>
      <c r="D465" s="110"/>
      <c r="E465" s="110"/>
      <c r="F465" s="110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" x14ac:dyDescent="0.3">
      <c r="A466" s="1"/>
      <c r="B466" s="110"/>
      <c r="C466" s="110"/>
      <c r="D466" s="110"/>
      <c r="E466" s="110"/>
      <c r="F466" s="110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" x14ac:dyDescent="0.3">
      <c r="A467" s="1"/>
      <c r="B467" s="110"/>
      <c r="C467" s="110"/>
      <c r="D467" s="110"/>
      <c r="E467" s="110"/>
      <c r="F467" s="110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" x14ac:dyDescent="0.3">
      <c r="A468" s="1"/>
      <c r="B468" s="110"/>
      <c r="C468" s="110"/>
      <c r="D468" s="110"/>
      <c r="E468" s="110"/>
      <c r="F468" s="110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" x14ac:dyDescent="0.3">
      <c r="A469" s="1"/>
      <c r="B469" s="110"/>
      <c r="C469" s="110"/>
      <c r="D469" s="110"/>
      <c r="E469" s="110"/>
      <c r="F469" s="110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" x14ac:dyDescent="0.3">
      <c r="A470" s="1"/>
      <c r="B470" s="110"/>
      <c r="C470" s="110"/>
      <c r="D470" s="110"/>
      <c r="E470" s="110"/>
      <c r="F470" s="110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" x14ac:dyDescent="0.3">
      <c r="A471" s="1"/>
      <c r="B471" s="110"/>
      <c r="C471" s="110"/>
      <c r="D471" s="110"/>
      <c r="E471" s="110"/>
      <c r="F471" s="110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" x14ac:dyDescent="0.3">
      <c r="A472" s="1"/>
      <c r="B472" s="110"/>
      <c r="C472" s="110"/>
      <c r="D472" s="110"/>
      <c r="E472" s="110"/>
      <c r="F472" s="110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" x14ac:dyDescent="0.3">
      <c r="A473" s="1"/>
      <c r="B473" s="110"/>
      <c r="C473" s="110"/>
      <c r="D473" s="110"/>
      <c r="E473" s="110"/>
      <c r="F473" s="110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" x14ac:dyDescent="0.3">
      <c r="A474" s="1"/>
      <c r="B474" s="110"/>
      <c r="C474" s="110"/>
      <c r="D474" s="110"/>
      <c r="E474" s="110"/>
      <c r="F474" s="110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" x14ac:dyDescent="0.3">
      <c r="A475" s="1"/>
      <c r="B475" s="110"/>
      <c r="C475" s="110"/>
      <c r="D475" s="110"/>
      <c r="E475" s="110"/>
      <c r="F475" s="110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" x14ac:dyDescent="0.3">
      <c r="A476" s="1"/>
      <c r="B476" s="110"/>
      <c r="C476" s="110"/>
      <c r="D476" s="110"/>
      <c r="E476" s="110"/>
      <c r="F476" s="110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" x14ac:dyDescent="0.3">
      <c r="A477" s="1"/>
      <c r="B477" s="110"/>
      <c r="C477" s="110"/>
      <c r="D477" s="110"/>
      <c r="E477" s="110"/>
      <c r="F477" s="110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" x14ac:dyDescent="0.3">
      <c r="A478" s="1"/>
      <c r="B478" s="110"/>
      <c r="C478" s="110"/>
      <c r="D478" s="110"/>
      <c r="E478" s="110"/>
      <c r="F478" s="110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" x14ac:dyDescent="0.3">
      <c r="A479" s="1"/>
      <c r="B479" s="110"/>
      <c r="C479" s="110"/>
      <c r="D479" s="110"/>
      <c r="E479" s="110"/>
      <c r="F479" s="110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" x14ac:dyDescent="0.3">
      <c r="A480" s="1"/>
      <c r="B480" s="110"/>
      <c r="C480" s="110"/>
      <c r="D480" s="110"/>
      <c r="E480" s="110"/>
      <c r="F480" s="110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" x14ac:dyDescent="0.3">
      <c r="A481" s="1"/>
      <c r="B481" s="110"/>
      <c r="C481" s="110"/>
      <c r="D481" s="110"/>
      <c r="E481" s="110"/>
      <c r="F481" s="110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" x14ac:dyDescent="0.3">
      <c r="A482" s="1"/>
      <c r="B482" s="110"/>
      <c r="C482" s="110"/>
      <c r="D482" s="110"/>
      <c r="E482" s="110"/>
      <c r="F482" s="110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" x14ac:dyDescent="0.3">
      <c r="A483" s="1"/>
      <c r="B483" s="110"/>
      <c r="C483" s="110"/>
      <c r="D483" s="110"/>
      <c r="E483" s="110"/>
      <c r="F483" s="110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" x14ac:dyDescent="0.3">
      <c r="A484" s="1"/>
      <c r="B484" s="110"/>
      <c r="C484" s="110"/>
      <c r="D484" s="110"/>
      <c r="E484" s="110"/>
      <c r="F484" s="110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" x14ac:dyDescent="0.3">
      <c r="A485" s="1"/>
      <c r="B485" s="110"/>
      <c r="C485" s="110"/>
      <c r="D485" s="110"/>
      <c r="E485" s="110"/>
      <c r="F485" s="110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" x14ac:dyDescent="0.3">
      <c r="A486" s="1"/>
      <c r="B486" s="110"/>
      <c r="C486" s="110"/>
      <c r="D486" s="110"/>
      <c r="E486" s="110"/>
      <c r="F486" s="110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" x14ac:dyDescent="0.3">
      <c r="A487" s="1"/>
      <c r="B487" s="110"/>
      <c r="C487" s="110"/>
      <c r="D487" s="110"/>
      <c r="E487" s="110"/>
      <c r="F487" s="110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" x14ac:dyDescent="0.3">
      <c r="A488" s="1"/>
      <c r="B488" s="110"/>
      <c r="C488" s="110"/>
      <c r="D488" s="110"/>
      <c r="E488" s="110"/>
      <c r="F488" s="110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" x14ac:dyDescent="0.3">
      <c r="A489" s="1"/>
      <c r="B489" s="110"/>
      <c r="C489" s="110"/>
      <c r="D489" s="110"/>
      <c r="E489" s="110"/>
      <c r="F489" s="110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" x14ac:dyDescent="0.3">
      <c r="A490" s="1"/>
      <c r="B490" s="110"/>
      <c r="C490" s="110"/>
      <c r="D490" s="110"/>
      <c r="E490" s="110"/>
      <c r="F490" s="110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" x14ac:dyDescent="0.3">
      <c r="A491" s="1"/>
      <c r="B491" s="110"/>
      <c r="C491" s="110"/>
      <c r="D491" s="110"/>
      <c r="E491" s="110"/>
      <c r="F491" s="110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" x14ac:dyDescent="0.3">
      <c r="A492" s="1"/>
      <c r="B492" s="110"/>
      <c r="C492" s="110"/>
      <c r="D492" s="110"/>
      <c r="E492" s="110"/>
      <c r="F492" s="110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" x14ac:dyDescent="0.3">
      <c r="A493" s="1"/>
      <c r="B493" s="110"/>
      <c r="C493" s="110"/>
      <c r="D493" s="110"/>
      <c r="E493" s="110"/>
      <c r="F493" s="110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" x14ac:dyDescent="0.3">
      <c r="A494" s="1"/>
      <c r="B494" s="110"/>
      <c r="C494" s="110"/>
      <c r="D494" s="110"/>
      <c r="E494" s="110"/>
      <c r="F494" s="110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" x14ac:dyDescent="0.3">
      <c r="A495" s="1"/>
      <c r="B495" s="110"/>
      <c r="C495" s="110"/>
      <c r="D495" s="110"/>
      <c r="E495" s="110"/>
      <c r="F495" s="110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" x14ac:dyDescent="0.3">
      <c r="A496" s="1"/>
      <c r="B496" s="110"/>
      <c r="C496" s="110"/>
      <c r="D496" s="110"/>
      <c r="E496" s="110"/>
      <c r="F496" s="110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" x14ac:dyDescent="0.3">
      <c r="A497" s="1"/>
      <c r="B497" s="110"/>
      <c r="C497" s="110"/>
      <c r="D497" s="110"/>
      <c r="E497" s="110"/>
      <c r="F497" s="110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" x14ac:dyDescent="0.3">
      <c r="A498" s="1"/>
      <c r="B498" s="110"/>
      <c r="C498" s="110"/>
      <c r="D498" s="110"/>
      <c r="E498" s="110"/>
      <c r="F498" s="110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" x14ac:dyDescent="0.3">
      <c r="A499" s="1"/>
      <c r="B499" s="110"/>
      <c r="C499" s="110"/>
      <c r="D499" s="110"/>
      <c r="E499" s="110"/>
      <c r="F499" s="110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" x14ac:dyDescent="0.3">
      <c r="A500" s="1"/>
      <c r="B500" s="110"/>
      <c r="C500" s="110"/>
      <c r="D500" s="110"/>
      <c r="E500" s="110"/>
      <c r="F500" s="110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" x14ac:dyDescent="0.3">
      <c r="A501" s="1"/>
      <c r="B501" s="110"/>
      <c r="C501" s="110"/>
      <c r="D501" s="110"/>
      <c r="E501" s="110"/>
      <c r="F501" s="11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" x14ac:dyDescent="0.3">
      <c r="A502" s="1"/>
      <c r="B502" s="110"/>
      <c r="C502" s="110"/>
      <c r="D502" s="110"/>
      <c r="E502" s="110"/>
      <c r="F502" s="11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" x14ac:dyDescent="0.3">
      <c r="A503" s="1"/>
      <c r="B503" s="110"/>
      <c r="C503" s="110"/>
      <c r="D503" s="110"/>
      <c r="E503" s="110"/>
      <c r="F503" s="11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" x14ac:dyDescent="0.3">
      <c r="A504" s="1"/>
      <c r="B504" s="110"/>
      <c r="C504" s="110"/>
      <c r="D504" s="110"/>
      <c r="E504" s="110"/>
      <c r="F504" s="11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" x14ac:dyDescent="0.3">
      <c r="A505" s="1"/>
      <c r="B505" s="110"/>
      <c r="C505" s="110"/>
      <c r="D505" s="110"/>
      <c r="E505" s="110"/>
      <c r="F505" s="11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" x14ac:dyDescent="0.3">
      <c r="A506" s="1"/>
      <c r="B506" s="110"/>
      <c r="C506" s="110"/>
      <c r="D506" s="110"/>
      <c r="E506" s="110"/>
      <c r="F506" s="11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" x14ac:dyDescent="0.3">
      <c r="A507" s="1"/>
      <c r="B507" s="110"/>
      <c r="C507" s="110"/>
      <c r="D507" s="110"/>
      <c r="E507" s="110"/>
      <c r="F507" s="11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" x14ac:dyDescent="0.3">
      <c r="A508" s="1"/>
      <c r="B508" s="110"/>
      <c r="C508" s="110"/>
      <c r="D508" s="110"/>
      <c r="E508" s="110"/>
      <c r="F508" s="11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" x14ac:dyDescent="0.3">
      <c r="A509" s="1"/>
      <c r="B509" s="110"/>
      <c r="C509" s="110"/>
      <c r="D509" s="110"/>
      <c r="E509" s="110"/>
      <c r="F509" s="11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" x14ac:dyDescent="0.3">
      <c r="A510" s="1"/>
      <c r="B510" s="110"/>
      <c r="C510" s="110"/>
      <c r="D510" s="110"/>
      <c r="E510" s="110"/>
      <c r="F510" s="11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" x14ac:dyDescent="0.3">
      <c r="A511" s="1"/>
      <c r="B511" s="110"/>
      <c r="C511" s="110"/>
      <c r="D511" s="110"/>
      <c r="E511" s="110"/>
      <c r="F511" s="11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" x14ac:dyDescent="0.3">
      <c r="A512" s="1"/>
      <c r="B512" s="110"/>
      <c r="C512" s="110"/>
      <c r="D512" s="110"/>
      <c r="E512" s="110"/>
      <c r="F512" s="11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" x14ac:dyDescent="0.3">
      <c r="A513" s="1"/>
      <c r="B513" s="110"/>
      <c r="C513" s="110"/>
      <c r="D513" s="110"/>
      <c r="E513" s="110"/>
      <c r="F513" s="11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" x14ac:dyDescent="0.3">
      <c r="A514" s="1"/>
      <c r="B514" s="110"/>
      <c r="C514" s="110"/>
      <c r="D514" s="110"/>
      <c r="E514" s="110"/>
      <c r="F514" s="11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" x14ac:dyDescent="0.3">
      <c r="A515" s="1"/>
      <c r="B515" s="110"/>
      <c r="C515" s="110"/>
      <c r="D515" s="110"/>
      <c r="E515" s="110"/>
      <c r="F515" s="11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" x14ac:dyDescent="0.3">
      <c r="A516" s="1"/>
      <c r="B516" s="110"/>
      <c r="C516" s="110"/>
      <c r="D516" s="110"/>
      <c r="E516" s="110"/>
      <c r="F516" s="11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" x14ac:dyDescent="0.3">
      <c r="A517" s="1"/>
      <c r="B517" s="110"/>
      <c r="C517" s="110"/>
      <c r="D517" s="110"/>
      <c r="E517" s="110"/>
      <c r="F517" s="11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" x14ac:dyDescent="0.3">
      <c r="A518" s="1"/>
      <c r="B518" s="110"/>
      <c r="C518" s="110"/>
      <c r="D518" s="110"/>
      <c r="E518" s="110"/>
      <c r="F518" s="11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" x14ac:dyDescent="0.3">
      <c r="A519" s="1"/>
      <c r="B519" s="110"/>
      <c r="C519" s="110"/>
      <c r="D519" s="110"/>
      <c r="E519" s="110"/>
      <c r="F519" s="11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" x14ac:dyDescent="0.3">
      <c r="A520" s="1"/>
      <c r="B520" s="110"/>
      <c r="C520" s="110"/>
      <c r="D520" s="110"/>
      <c r="E520" s="110"/>
      <c r="F520" s="11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" x14ac:dyDescent="0.3">
      <c r="A521" s="1"/>
      <c r="B521" s="110"/>
      <c r="C521" s="110"/>
      <c r="D521" s="110"/>
      <c r="E521" s="110"/>
      <c r="F521" s="11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" x14ac:dyDescent="0.3">
      <c r="A522" s="1"/>
      <c r="B522" s="110"/>
      <c r="C522" s="110"/>
      <c r="D522" s="110"/>
      <c r="E522" s="110"/>
      <c r="F522" s="11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" x14ac:dyDescent="0.3">
      <c r="A523" s="1"/>
      <c r="B523" s="110"/>
      <c r="C523" s="110"/>
      <c r="D523" s="110"/>
      <c r="E523" s="110"/>
      <c r="F523" s="11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" x14ac:dyDescent="0.3">
      <c r="A524" s="1"/>
      <c r="B524" s="110"/>
      <c r="C524" s="110"/>
      <c r="D524" s="110"/>
      <c r="E524" s="110"/>
      <c r="F524" s="11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" x14ac:dyDescent="0.3">
      <c r="A525" s="1"/>
      <c r="B525" s="110"/>
      <c r="C525" s="110"/>
      <c r="D525" s="110"/>
      <c r="E525" s="110"/>
      <c r="F525" s="11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" x14ac:dyDescent="0.3">
      <c r="A526" s="1"/>
      <c r="B526" s="110"/>
      <c r="C526" s="110"/>
      <c r="D526" s="110"/>
      <c r="E526" s="110"/>
      <c r="F526" s="110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" x14ac:dyDescent="0.3">
      <c r="A527" s="1"/>
      <c r="B527" s="110"/>
      <c r="C527" s="110"/>
      <c r="D527" s="110"/>
      <c r="E527" s="110"/>
      <c r="F527" s="110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" x14ac:dyDescent="0.3">
      <c r="A528" s="1"/>
      <c r="B528" s="110"/>
      <c r="C528" s="110"/>
      <c r="D528" s="110"/>
      <c r="E528" s="110"/>
      <c r="F528" s="110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" x14ac:dyDescent="0.3">
      <c r="A529" s="1"/>
      <c r="B529" s="110"/>
      <c r="C529" s="110"/>
      <c r="D529" s="110"/>
      <c r="E529" s="110"/>
      <c r="F529" s="110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" x14ac:dyDescent="0.3">
      <c r="A530" s="1"/>
      <c r="B530" s="110"/>
      <c r="C530" s="110"/>
      <c r="D530" s="110"/>
      <c r="E530" s="110"/>
      <c r="F530" s="110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" x14ac:dyDescent="0.3">
      <c r="A531" s="1"/>
      <c r="B531" s="110"/>
      <c r="C531" s="110"/>
      <c r="D531" s="110"/>
      <c r="E531" s="110"/>
      <c r="F531" s="110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" x14ac:dyDescent="0.3">
      <c r="A532" s="1"/>
      <c r="B532" s="110"/>
      <c r="C532" s="110"/>
      <c r="D532" s="110"/>
      <c r="E532" s="110"/>
      <c r="F532" s="110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" x14ac:dyDescent="0.3">
      <c r="A533" s="1"/>
      <c r="B533" s="110"/>
      <c r="C533" s="110"/>
      <c r="D533" s="110"/>
      <c r="E533" s="110"/>
      <c r="F533" s="110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" x14ac:dyDescent="0.3">
      <c r="A534" s="1"/>
      <c r="B534" s="110"/>
      <c r="C534" s="110"/>
      <c r="D534" s="110"/>
      <c r="E534" s="110"/>
      <c r="F534" s="110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" x14ac:dyDescent="0.3">
      <c r="A535" s="1"/>
      <c r="B535" s="110"/>
      <c r="C535" s="110"/>
      <c r="D535" s="110"/>
      <c r="E535" s="110"/>
      <c r="F535" s="110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" x14ac:dyDescent="0.3">
      <c r="A536" s="1"/>
      <c r="B536" s="110"/>
      <c r="C536" s="110"/>
      <c r="D536" s="110"/>
      <c r="E536" s="110"/>
      <c r="F536" s="110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" x14ac:dyDescent="0.3">
      <c r="A537" s="1"/>
      <c r="B537" s="110"/>
      <c r="C537" s="110"/>
      <c r="D537" s="110"/>
      <c r="E537" s="110"/>
      <c r="F537" s="110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" x14ac:dyDescent="0.3">
      <c r="A538" s="1"/>
      <c r="B538" s="110"/>
      <c r="C538" s="110"/>
      <c r="D538" s="110"/>
      <c r="E538" s="110"/>
      <c r="F538" s="110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" x14ac:dyDescent="0.3">
      <c r="A539" s="1"/>
      <c r="B539" s="110"/>
      <c r="C539" s="110"/>
      <c r="D539" s="110"/>
      <c r="E539" s="110"/>
      <c r="F539" s="110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" x14ac:dyDescent="0.3">
      <c r="A540" s="1"/>
      <c r="B540" s="110"/>
      <c r="C540" s="110"/>
      <c r="D540" s="110"/>
      <c r="E540" s="110"/>
      <c r="F540" s="110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" x14ac:dyDescent="0.3">
      <c r="A541" s="1"/>
      <c r="B541" s="110"/>
      <c r="C541" s="110"/>
      <c r="D541" s="110"/>
      <c r="E541" s="110"/>
      <c r="F541" s="110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" x14ac:dyDescent="0.3">
      <c r="A542" s="1"/>
      <c r="B542" s="110"/>
      <c r="C542" s="110"/>
      <c r="D542" s="110"/>
      <c r="E542" s="110"/>
      <c r="F542" s="110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" x14ac:dyDescent="0.3">
      <c r="A543" s="1"/>
      <c r="B543" s="110"/>
      <c r="C543" s="110"/>
      <c r="D543" s="110"/>
      <c r="E543" s="110"/>
      <c r="F543" s="110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" x14ac:dyDescent="0.3">
      <c r="A544" s="1"/>
      <c r="B544" s="110"/>
      <c r="C544" s="110"/>
      <c r="D544" s="110"/>
      <c r="E544" s="110"/>
      <c r="F544" s="110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" x14ac:dyDescent="0.3">
      <c r="A545" s="1"/>
      <c r="B545" s="110"/>
      <c r="C545" s="110"/>
      <c r="D545" s="110"/>
      <c r="E545" s="110"/>
      <c r="F545" s="110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" x14ac:dyDescent="0.3">
      <c r="A546" s="1"/>
      <c r="B546" s="110"/>
      <c r="C546" s="110"/>
      <c r="D546" s="110"/>
      <c r="E546" s="110"/>
      <c r="F546" s="110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" x14ac:dyDescent="0.3">
      <c r="A547" s="1"/>
      <c r="B547" s="110"/>
      <c r="C547" s="110"/>
      <c r="D547" s="110"/>
      <c r="E547" s="110"/>
      <c r="F547" s="110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" x14ac:dyDescent="0.3">
      <c r="A548" s="1"/>
      <c r="B548" s="110"/>
      <c r="C548" s="110"/>
      <c r="D548" s="110"/>
      <c r="E548" s="110"/>
      <c r="F548" s="110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" x14ac:dyDescent="0.3">
      <c r="A549" s="1"/>
      <c r="B549" s="110"/>
      <c r="C549" s="110"/>
      <c r="D549" s="110"/>
      <c r="E549" s="110"/>
      <c r="F549" s="110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" x14ac:dyDescent="0.3">
      <c r="A550" s="1"/>
      <c r="B550" s="110"/>
      <c r="C550" s="110"/>
      <c r="D550" s="110"/>
      <c r="E550" s="110"/>
      <c r="F550" s="110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" x14ac:dyDescent="0.3">
      <c r="A551" s="1"/>
      <c r="B551" s="110"/>
      <c r="C551" s="110"/>
      <c r="D551" s="110"/>
      <c r="E551" s="110"/>
      <c r="F551" s="110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" x14ac:dyDescent="0.3">
      <c r="A552" s="1"/>
      <c r="B552" s="110"/>
      <c r="C552" s="110"/>
      <c r="D552" s="110"/>
      <c r="E552" s="110"/>
      <c r="F552" s="110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" x14ac:dyDescent="0.3">
      <c r="A553" s="1"/>
      <c r="B553" s="110"/>
      <c r="C553" s="110"/>
      <c r="D553" s="110"/>
      <c r="E553" s="110"/>
      <c r="F553" s="110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" x14ac:dyDescent="0.3">
      <c r="A554" s="1"/>
      <c r="B554" s="110"/>
      <c r="C554" s="110"/>
      <c r="D554" s="110"/>
      <c r="E554" s="110"/>
      <c r="F554" s="110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" x14ac:dyDescent="0.3">
      <c r="A555" s="1"/>
      <c r="B555" s="110"/>
      <c r="C555" s="110"/>
      <c r="D555" s="110"/>
      <c r="E555" s="110"/>
      <c r="F555" s="110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" x14ac:dyDescent="0.3">
      <c r="A556" s="1"/>
      <c r="B556" s="110"/>
      <c r="C556" s="110"/>
      <c r="D556" s="110"/>
      <c r="E556" s="110"/>
      <c r="F556" s="110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" x14ac:dyDescent="0.3">
      <c r="A557" s="1"/>
      <c r="B557" s="110"/>
      <c r="C557" s="110"/>
      <c r="D557" s="110"/>
      <c r="E557" s="110"/>
      <c r="F557" s="110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" x14ac:dyDescent="0.3">
      <c r="A558" s="1"/>
      <c r="B558" s="110"/>
      <c r="C558" s="110"/>
      <c r="D558" s="110"/>
      <c r="E558" s="110"/>
      <c r="F558" s="110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" x14ac:dyDescent="0.3">
      <c r="A559" s="1"/>
      <c r="B559" s="110"/>
      <c r="C559" s="110"/>
      <c r="D559" s="110"/>
      <c r="E559" s="110"/>
      <c r="F559" s="110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" x14ac:dyDescent="0.3">
      <c r="A560" s="1"/>
      <c r="B560" s="110"/>
      <c r="C560" s="110"/>
      <c r="D560" s="110"/>
      <c r="E560" s="110"/>
      <c r="F560" s="110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" x14ac:dyDescent="0.3">
      <c r="A561" s="1"/>
      <c r="B561" s="110"/>
      <c r="C561" s="110"/>
      <c r="D561" s="110"/>
      <c r="E561" s="110"/>
      <c r="F561" s="110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" x14ac:dyDescent="0.3">
      <c r="A562" s="1"/>
      <c r="B562" s="110"/>
      <c r="C562" s="110"/>
      <c r="D562" s="110"/>
      <c r="E562" s="110"/>
      <c r="F562" s="110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" x14ac:dyDescent="0.3">
      <c r="A563" s="1"/>
      <c r="B563" s="110"/>
      <c r="C563" s="110"/>
      <c r="D563" s="110"/>
      <c r="E563" s="110"/>
      <c r="F563" s="110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" x14ac:dyDescent="0.3">
      <c r="A564" s="1"/>
      <c r="B564" s="110"/>
      <c r="C564" s="110"/>
      <c r="D564" s="110"/>
      <c r="E564" s="110"/>
      <c r="F564" s="110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" x14ac:dyDescent="0.3">
      <c r="A565" s="1"/>
      <c r="B565" s="110"/>
      <c r="C565" s="110"/>
      <c r="D565" s="110"/>
      <c r="E565" s="110"/>
      <c r="F565" s="110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" x14ac:dyDescent="0.3">
      <c r="A566" s="1"/>
      <c r="B566" s="110"/>
      <c r="C566" s="110"/>
      <c r="D566" s="110"/>
      <c r="E566" s="110"/>
      <c r="F566" s="110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" x14ac:dyDescent="0.3">
      <c r="A567" s="1"/>
      <c r="B567" s="110"/>
      <c r="C567" s="110"/>
      <c r="D567" s="110"/>
      <c r="E567" s="110"/>
      <c r="F567" s="110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" x14ac:dyDescent="0.3">
      <c r="A568" s="1"/>
      <c r="B568" s="110"/>
      <c r="C568" s="110"/>
      <c r="D568" s="110"/>
      <c r="E568" s="110"/>
      <c r="F568" s="110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" x14ac:dyDescent="0.3">
      <c r="A569" s="1"/>
      <c r="B569" s="110"/>
      <c r="C569" s="110"/>
      <c r="D569" s="110"/>
      <c r="E569" s="110"/>
      <c r="F569" s="110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" x14ac:dyDescent="0.3">
      <c r="A570" s="1"/>
      <c r="B570" s="110"/>
      <c r="C570" s="110"/>
      <c r="D570" s="110"/>
      <c r="E570" s="110"/>
      <c r="F570" s="110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" x14ac:dyDescent="0.3">
      <c r="A571" s="1"/>
      <c r="B571" s="110"/>
      <c r="C571" s="110"/>
      <c r="D571" s="110"/>
      <c r="E571" s="110"/>
      <c r="F571" s="110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" x14ac:dyDescent="0.3">
      <c r="A572" s="1"/>
      <c r="B572" s="110"/>
      <c r="C572" s="110"/>
      <c r="D572" s="110"/>
      <c r="E572" s="110"/>
      <c r="F572" s="110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" x14ac:dyDescent="0.3">
      <c r="A573" s="1"/>
      <c r="B573" s="110"/>
      <c r="C573" s="110"/>
      <c r="D573" s="110"/>
      <c r="E573" s="110"/>
      <c r="F573" s="110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" x14ac:dyDescent="0.3">
      <c r="A574" s="1"/>
      <c r="B574" s="110"/>
      <c r="C574" s="110"/>
      <c r="D574" s="110"/>
      <c r="E574" s="110"/>
      <c r="F574" s="110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" x14ac:dyDescent="0.3">
      <c r="A575" s="1"/>
      <c r="B575" s="110"/>
      <c r="C575" s="110"/>
      <c r="D575" s="110"/>
      <c r="E575" s="110"/>
      <c r="F575" s="110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" x14ac:dyDescent="0.3">
      <c r="A576" s="1"/>
      <c r="B576" s="110"/>
      <c r="C576" s="110"/>
      <c r="D576" s="110"/>
      <c r="E576" s="110"/>
      <c r="F576" s="110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" x14ac:dyDescent="0.3">
      <c r="A577" s="1"/>
      <c r="B577" s="110"/>
      <c r="C577" s="110"/>
      <c r="D577" s="110"/>
      <c r="E577" s="110"/>
      <c r="F577" s="110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" x14ac:dyDescent="0.3">
      <c r="A578" s="1"/>
      <c r="B578" s="110"/>
      <c r="C578" s="110"/>
      <c r="D578" s="110"/>
      <c r="E578" s="110"/>
      <c r="F578" s="110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" x14ac:dyDescent="0.3">
      <c r="A579" s="1"/>
      <c r="B579" s="110"/>
      <c r="C579" s="110"/>
      <c r="D579" s="110"/>
      <c r="E579" s="110"/>
      <c r="F579" s="110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" x14ac:dyDescent="0.3">
      <c r="A580" s="1"/>
      <c r="B580" s="110"/>
      <c r="C580" s="110"/>
      <c r="D580" s="110"/>
      <c r="E580" s="110"/>
      <c r="F580" s="110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" x14ac:dyDescent="0.3">
      <c r="A581" s="1"/>
      <c r="B581" s="110"/>
      <c r="C581" s="110"/>
      <c r="D581" s="110"/>
      <c r="E581" s="110"/>
      <c r="F581" s="110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" x14ac:dyDescent="0.3">
      <c r="A582" s="1"/>
      <c r="B582" s="110"/>
      <c r="C582" s="110"/>
      <c r="D582" s="110"/>
      <c r="E582" s="110"/>
      <c r="F582" s="110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" x14ac:dyDescent="0.3">
      <c r="A583" s="1"/>
      <c r="B583" s="110"/>
      <c r="C583" s="110"/>
      <c r="D583" s="110"/>
      <c r="E583" s="110"/>
      <c r="F583" s="110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" x14ac:dyDescent="0.3">
      <c r="A584" s="1"/>
      <c r="B584" s="110"/>
      <c r="C584" s="110"/>
      <c r="D584" s="110"/>
      <c r="E584" s="110"/>
      <c r="F584" s="11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" x14ac:dyDescent="0.3">
      <c r="A585" s="1"/>
      <c r="B585" s="110"/>
      <c r="C585" s="110"/>
      <c r="D585" s="110"/>
      <c r="E585" s="110"/>
      <c r="F585" s="11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" x14ac:dyDescent="0.3">
      <c r="A586" s="1"/>
      <c r="B586" s="110"/>
      <c r="C586" s="110"/>
      <c r="D586" s="110"/>
      <c r="E586" s="110"/>
      <c r="F586" s="11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" x14ac:dyDescent="0.3">
      <c r="A587" s="1"/>
      <c r="B587" s="110"/>
      <c r="C587" s="110"/>
      <c r="D587" s="110"/>
      <c r="E587" s="110"/>
      <c r="F587" s="11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" x14ac:dyDescent="0.3">
      <c r="A588" s="1"/>
      <c r="B588" s="110"/>
      <c r="C588" s="110"/>
      <c r="D588" s="110"/>
      <c r="E588" s="110"/>
      <c r="F588" s="11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" x14ac:dyDescent="0.3">
      <c r="A589" s="1"/>
      <c r="B589" s="110"/>
      <c r="C589" s="110"/>
      <c r="D589" s="110"/>
      <c r="E589" s="110"/>
      <c r="F589" s="11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" x14ac:dyDescent="0.3">
      <c r="A590" s="1"/>
      <c r="B590" s="110"/>
      <c r="C590" s="110"/>
      <c r="D590" s="110"/>
      <c r="E590" s="110"/>
      <c r="F590" s="11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" x14ac:dyDescent="0.3">
      <c r="A591" s="1"/>
      <c r="B591" s="110"/>
      <c r="C591" s="110"/>
      <c r="D591" s="110"/>
      <c r="E591" s="110"/>
      <c r="F591" s="11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" x14ac:dyDescent="0.3">
      <c r="A592" s="1"/>
      <c r="B592" s="110"/>
      <c r="C592" s="110"/>
      <c r="D592" s="110"/>
      <c r="E592" s="110"/>
      <c r="F592" s="11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" x14ac:dyDescent="0.3">
      <c r="A593" s="1"/>
      <c r="B593" s="110"/>
      <c r="C593" s="110"/>
      <c r="D593" s="110"/>
      <c r="E593" s="110"/>
      <c r="F593" s="11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" x14ac:dyDescent="0.3">
      <c r="A594" s="1"/>
      <c r="B594" s="110"/>
      <c r="C594" s="110"/>
      <c r="D594" s="110"/>
      <c r="E594" s="110"/>
      <c r="F594" s="11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" x14ac:dyDescent="0.3">
      <c r="A595" s="1"/>
      <c r="B595" s="110"/>
      <c r="C595" s="110"/>
      <c r="D595" s="110"/>
      <c r="E595" s="110"/>
      <c r="F595" s="11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" x14ac:dyDescent="0.3">
      <c r="A596" s="1"/>
      <c r="B596" s="110"/>
      <c r="C596" s="110"/>
      <c r="D596" s="110"/>
      <c r="E596" s="110"/>
      <c r="F596" s="11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" x14ac:dyDescent="0.3">
      <c r="A597" s="1"/>
      <c r="B597" s="110"/>
      <c r="C597" s="110"/>
      <c r="D597" s="110"/>
      <c r="E597" s="110"/>
      <c r="F597" s="11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" x14ac:dyDescent="0.3">
      <c r="A598" s="1"/>
      <c r="B598" s="110"/>
      <c r="C598" s="110"/>
      <c r="D598" s="110"/>
      <c r="E598" s="110"/>
      <c r="F598" s="11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" x14ac:dyDescent="0.3">
      <c r="A599" s="1"/>
      <c r="B599" s="110"/>
      <c r="C599" s="110"/>
      <c r="D599" s="110"/>
      <c r="E599" s="110"/>
      <c r="F599" s="11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" x14ac:dyDescent="0.3">
      <c r="A600" s="1"/>
      <c r="B600" s="110"/>
      <c r="C600" s="110"/>
      <c r="D600" s="110"/>
      <c r="E600" s="110"/>
      <c r="F600" s="11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" x14ac:dyDescent="0.3">
      <c r="A601" s="1"/>
      <c r="B601" s="110"/>
      <c r="C601" s="110"/>
      <c r="D601" s="110"/>
      <c r="E601" s="110"/>
      <c r="F601" s="11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" x14ac:dyDescent="0.3">
      <c r="A602" s="1"/>
      <c r="B602" s="110"/>
      <c r="C602" s="110"/>
      <c r="D602" s="110"/>
      <c r="E602" s="110"/>
      <c r="F602" s="11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" x14ac:dyDescent="0.3">
      <c r="A603" s="1"/>
      <c r="B603" s="110"/>
      <c r="C603" s="110"/>
      <c r="D603" s="110"/>
      <c r="E603" s="110"/>
      <c r="F603" s="11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" x14ac:dyDescent="0.3">
      <c r="A604" s="1"/>
      <c r="B604" s="110"/>
      <c r="C604" s="110"/>
      <c r="D604" s="110"/>
      <c r="E604" s="110"/>
      <c r="F604" s="11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" x14ac:dyDescent="0.3">
      <c r="A605" s="1"/>
      <c r="B605" s="110"/>
      <c r="C605" s="110"/>
      <c r="D605" s="110"/>
      <c r="E605" s="110"/>
      <c r="F605" s="11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" x14ac:dyDescent="0.3">
      <c r="A606" s="1"/>
      <c r="B606" s="110"/>
      <c r="C606" s="110"/>
      <c r="D606" s="110"/>
      <c r="E606" s="110"/>
      <c r="F606" s="11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" x14ac:dyDescent="0.3">
      <c r="A607" s="1"/>
      <c r="B607" s="110"/>
      <c r="C607" s="110"/>
      <c r="D607" s="110"/>
      <c r="E607" s="110"/>
      <c r="F607" s="11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" x14ac:dyDescent="0.3">
      <c r="A608" s="1"/>
      <c r="B608" s="110"/>
      <c r="C608" s="110"/>
      <c r="D608" s="110"/>
      <c r="E608" s="110"/>
      <c r="F608" s="11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" x14ac:dyDescent="0.3">
      <c r="A609" s="1"/>
      <c r="B609" s="110"/>
      <c r="C609" s="110"/>
      <c r="D609" s="110"/>
      <c r="E609" s="110"/>
      <c r="F609" s="110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" x14ac:dyDescent="0.3">
      <c r="A610" s="1"/>
      <c r="B610" s="110"/>
      <c r="C610" s="110"/>
      <c r="D610" s="110"/>
      <c r="E610" s="110"/>
      <c r="F610" s="110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" x14ac:dyDescent="0.3">
      <c r="A611" s="1"/>
      <c r="B611" s="110"/>
      <c r="C611" s="110"/>
      <c r="D611" s="110"/>
      <c r="E611" s="110"/>
      <c r="F611" s="110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" x14ac:dyDescent="0.3">
      <c r="A612" s="1"/>
      <c r="B612" s="110"/>
      <c r="C612" s="110"/>
      <c r="D612" s="110"/>
      <c r="E612" s="110"/>
      <c r="F612" s="110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" x14ac:dyDescent="0.3">
      <c r="A613" s="1"/>
      <c r="B613" s="110"/>
      <c r="C613" s="110"/>
      <c r="D613" s="110"/>
      <c r="E613" s="110"/>
      <c r="F613" s="110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" x14ac:dyDescent="0.3">
      <c r="A614" s="1"/>
      <c r="B614" s="110"/>
      <c r="C614" s="110"/>
      <c r="D614" s="110"/>
      <c r="E614" s="110"/>
      <c r="F614" s="110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" x14ac:dyDescent="0.3">
      <c r="A615" s="1"/>
      <c r="B615" s="110"/>
      <c r="C615" s="110"/>
      <c r="D615" s="110"/>
      <c r="E615" s="110"/>
      <c r="F615" s="110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" x14ac:dyDescent="0.3">
      <c r="A616" s="1"/>
      <c r="B616" s="110"/>
      <c r="C616" s="110"/>
      <c r="D616" s="110"/>
      <c r="E616" s="110"/>
      <c r="F616" s="110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" x14ac:dyDescent="0.3">
      <c r="A617" s="1"/>
      <c r="B617" s="110"/>
      <c r="C617" s="110"/>
      <c r="D617" s="110"/>
      <c r="E617" s="110"/>
      <c r="F617" s="110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" x14ac:dyDescent="0.3">
      <c r="A618" s="1"/>
      <c r="B618" s="110"/>
      <c r="C618" s="110"/>
      <c r="D618" s="110"/>
      <c r="E618" s="110"/>
      <c r="F618" s="110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" x14ac:dyDescent="0.3">
      <c r="A619" s="1"/>
      <c r="B619" s="110"/>
      <c r="C619" s="110"/>
      <c r="D619" s="110"/>
      <c r="E619" s="110"/>
      <c r="F619" s="110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" x14ac:dyDescent="0.3">
      <c r="A620" s="1"/>
      <c r="B620" s="110"/>
      <c r="C620" s="110"/>
      <c r="D620" s="110"/>
      <c r="E620" s="110"/>
      <c r="F620" s="110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" x14ac:dyDescent="0.3">
      <c r="A621" s="1"/>
      <c r="B621" s="110"/>
      <c r="C621" s="110"/>
      <c r="D621" s="110"/>
      <c r="E621" s="110"/>
      <c r="F621" s="110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" x14ac:dyDescent="0.3">
      <c r="A622" s="1"/>
      <c r="B622" s="110"/>
      <c r="C622" s="110"/>
      <c r="D622" s="110"/>
      <c r="E622" s="110"/>
      <c r="F622" s="110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" x14ac:dyDescent="0.3">
      <c r="A623" s="1"/>
      <c r="B623" s="110"/>
      <c r="C623" s="110"/>
      <c r="D623" s="110"/>
      <c r="E623" s="110"/>
      <c r="F623" s="110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" x14ac:dyDescent="0.3">
      <c r="A624" s="1"/>
      <c r="B624" s="110"/>
      <c r="C624" s="110"/>
      <c r="D624" s="110"/>
      <c r="E624" s="110"/>
      <c r="F624" s="110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" x14ac:dyDescent="0.3">
      <c r="A625" s="1"/>
      <c r="B625" s="110"/>
      <c r="C625" s="110"/>
      <c r="D625" s="110"/>
      <c r="E625" s="110"/>
      <c r="F625" s="110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" x14ac:dyDescent="0.3">
      <c r="A626" s="1"/>
      <c r="B626" s="110"/>
      <c r="C626" s="110"/>
      <c r="D626" s="110"/>
      <c r="E626" s="110"/>
      <c r="F626" s="110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" x14ac:dyDescent="0.3">
      <c r="A627" s="1"/>
      <c r="B627" s="110"/>
      <c r="C627" s="110"/>
      <c r="D627" s="110"/>
      <c r="E627" s="110"/>
      <c r="F627" s="110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" x14ac:dyDescent="0.3">
      <c r="A628" s="1"/>
      <c r="B628" s="110"/>
      <c r="C628" s="110"/>
      <c r="D628" s="110"/>
      <c r="E628" s="110"/>
      <c r="F628" s="110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" x14ac:dyDescent="0.3">
      <c r="A629" s="1"/>
      <c r="B629" s="110"/>
      <c r="C629" s="110"/>
      <c r="D629" s="110"/>
      <c r="E629" s="110"/>
      <c r="F629" s="110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" x14ac:dyDescent="0.3">
      <c r="A630" s="1"/>
      <c r="B630" s="110"/>
      <c r="C630" s="110"/>
      <c r="D630" s="110"/>
      <c r="E630" s="110"/>
      <c r="F630" s="110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" x14ac:dyDescent="0.3">
      <c r="A631" s="1"/>
      <c r="B631" s="110"/>
      <c r="C631" s="110"/>
      <c r="D631" s="110"/>
      <c r="E631" s="110"/>
      <c r="F631" s="110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" x14ac:dyDescent="0.3">
      <c r="A632" s="1"/>
      <c r="B632" s="110"/>
      <c r="C632" s="110"/>
      <c r="D632" s="110"/>
      <c r="E632" s="110"/>
      <c r="F632" s="110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" x14ac:dyDescent="0.3">
      <c r="A633" s="1"/>
      <c r="B633" s="110"/>
      <c r="C633" s="110"/>
      <c r="D633" s="110"/>
      <c r="E633" s="110"/>
      <c r="F633" s="110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" x14ac:dyDescent="0.3">
      <c r="A634" s="1"/>
      <c r="B634" s="110"/>
      <c r="C634" s="110"/>
      <c r="D634" s="110"/>
      <c r="E634" s="110"/>
      <c r="F634" s="110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" x14ac:dyDescent="0.3">
      <c r="A635" s="1"/>
      <c r="B635" s="110"/>
      <c r="C635" s="110"/>
      <c r="D635" s="110"/>
      <c r="E635" s="110"/>
      <c r="F635" s="110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" x14ac:dyDescent="0.3">
      <c r="A636" s="1"/>
      <c r="B636" s="110"/>
      <c r="C636" s="110"/>
      <c r="D636" s="110"/>
      <c r="E636" s="110"/>
      <c r="F636" s="110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" x14ac:dyDescent="0.3">
      <c r="A637" s="1"/>
      <c r="B637" s="110"/>
      <c r="C637" s="110"/>
      <c r="D637" s="110"/>
      <c r="E637" s="110"/>
      <c r="F637" s="110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" x14ac:dyDescent="0.3">
      <c r="A638" s="1"/>
      <c r="B638" s="110"/>
      <c r="C638" s="110"/>
      <c r="D638" s="110"/>
      <c r="E638" s="110"/>
      <c r="F638" s="110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" x14ac:dyDescent="0.3">
      <c r="A639" s="1"/>
      <c r="B639" s="110"/>
      <c r="C639" s="110"/>
      <c r="D639" s="110"/>
      <c r="E639" s="110"/>
      <c r="F639" s="110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" x14ac:dyDescent="0.3">
      <c r="A640" s="1"/>
      <c r="B640" s="110"/>
      <c r="C640" s="110"/>
      <c r="D640" s="110"/>
      <c r="E640" s="110"/>
      <c r="F640" s="110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" x14ac:dyDescent="0.3">
      <c r="A641" s="1"/>
      <c r="B641" s="110"/>
      <c r="C641" s="110"/>
      <c r="D641" s="110"/>
      <c r="E641" s="110"/>
      <c r="F641" s="110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" x14ac:dyDescent="0.3">
      <c r="A642" s="1"/>
      <c r="B642" s="110"/>
      <c r="C642" s="110"/>
      <c r="D642" s="110"/>
      <c r="E642" s="110"/>
      <c r="F642" s="110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" x14ac:dyDescent="0.3">
      <c r="A643" s="1"/>
      <c r="B643" s="110"/>
      <c r="C643" s="110"/>
      <c r="D643" s="110"/>
      <c r="E643" s="110"/>
      <c r="F643" s="110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" x14ac:dyDescent="0.3">
      <c r="A644" s="1"/>
      <c r="B644" s="110"/>
      <c r="C644" s="110"/>
      <c r="D644" s="110"/>
      <c r="E644" s="110"/>
      <c r="F644" s="110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" x14ac:dyDescent="0.3">
      <c r="A645" s="1"/>
      <c r="B645" s="110"/>
      <c r="C645" s="110"/>
      <c r="D645" s="110"/>
      <c r="E645" s="110"/>
      <c r="F645" s="110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" x14ac:dyDescent="0.3">
      <c r="A646" s="1"/>
      <c r="B646" s="110"/>
      <c r="C646" s="110"/>
      <c r="D646" s="110"/>
      <c r="E646" s="110"/>
      <c r="F646" s="110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" x14ac:dyDescent="0.3">
      <c r="A647" s="1"/>
      <c r="B647" s="110"/>
      <c r="C647" s="110"/>
      <c r="D647" s="110"/>
      <c r="E647" s="110"/>
      <c r="F647" s="110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" x14ac:dyDescent="0.3">
      <c r="A648" s="1"/>
      <c r="B648" s="110"/>
      <c r="C648" s="110"/>
      <c r="D648" s="110"/>
      <c r="E648" s="110"/>
      <c r="F648" s="110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" x14ac:dyDescent="0.3">
      <c r="A649" s="1"/>
      <c r="B649" s="110"/>
      <c r="C649" s="110"/>
      <c r="D649" s="110"/>
      <c r="E649" s="110"/>
      <c r="F649" s="110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" x14ac:dyDescent="0.3">
      <c r="A650" s="1"/>
      <c r="B650" s="110"/>
      <c r="C650" s="110"/>
      <c r="D650" s="110"/>
      <c r="E650" s="110"/>
      <c r="F650" s="110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" x14ac:dyDescent="0.3">
      <c r="A651" s="1"/>
      <c r="B651" s="110"/>
      <c r="C651" s="110"/>
      <c r="D651" s="110"/>
      <c r="E651" s="110"/>
      <c r="F651" s="110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" x14ac:dyDescent="0.3">
      <c r="A652" s="1"/>
      <c r="B652" s="110"/>
      <c r="C652" s="110"/>
      <c r="D652" s="110"/>
      <c r="E652" s="110"/>
      <c r="F652" s="110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" x14ac:dyDescent="0.3">
      <c r="A653" s="1"/>
      <c r="B653" s="110"/>
      <c r="C653" s="110"/>
      <c r="D653" s="110"/>
      <c r="E653" s="110"/>
      <c r="F653" s="110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" x14ac:dyDescent="0.3">
      <c r="A654" s="1"/>
      <c r="B654" s="110"/>
      <c r="C654" s="110"/>
      <c r="D654" s="110"/>
      <c r="E654" s="110"/>
      <c r="F654" s="110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" x14ac:dyDescent="0.3">
      <c r="A655" s="1"/>
      <c r="B655" s="110"/>
      <c r="C655" s="110"/>
      <c r="D655" s="110"/>
      <c r="E655" s="110"/>
      <c r="F655" s="110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" x14ac:dyDescent="0.3">
      <c r="A656" s="1"/>
      <c r="B656" s="110"/>
      <c r="C656" s="110"/>
      <c r="D656" s="110"/>
      <c r="E656" s="110"/>
      <c r="F656" s="110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" x14ac:dyDescent="0.3">
      <c r="A657" s="1"/>
      <c r="B657" s="110"/>
      <c r="C657" s="110"/>
      <c r="D657" s="110"/>
      <c r="E657" s="110"/>
      <c r="F657" s="110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" x14ac:dyDescent="0.3">
      <c r="A658" s="1"/>
      <c r="B658" s="110"/>
      <c r="C658" s="110"/>
      <c r="D658" s="110"/>
      <c r="E658" s="110"/>
      <c r="F658" s="110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" x14ac:dyDescent="0.3">
      <c r="A659" s="1"/>
      <c r="B659" s="110"/>
      <c r="C659" s="110"/>
      <c r="D659" s="110"/>
      <c r="E659" s="110"/>
      <c r="F659" s="110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" x14ac:dyDescent="0.3">
      <c r="A660" s="1"/>
      <c r="B660" s="110"/>
      <c r="C660" s="110"/>
      <c r="D660" s="110"/>
      <c r="E660" s="110"/>
      <c r="F660" s="110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" x14ac:dyDescent="0.3">
      <c r="A661" s="1"/>
      <c r="B661" s="110"/>
      <c r="C661" s="110"/>
      <c r="D661" s="110"/>
      <c r="E661" s="110"/>
      <c r="F661" s="11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" x14ac:dyDescent="0.3">
      <c r="A662" s="1"/>
      <c r="B662" s="110"/>
      <c r="C662" s="110"/>
      <c r="D662" s="110"/>
      <c r="E662" s="110"/>
      <c r="F662" s="110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" x14ac:dyDescent="0.3">
      <c r="A663" s="1"/>
      <c r="B663" s="110"/>
      <c r="C663" s="110"/>
      <c r="D663" s="110"/>
      <c r="E663" s="110"/>
      <c r="F663" s="110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" x14ac:dyDescent="0.3">
      <c r="A664" s="1"/>
      <c r="B664" s="110"/>
      <c r="C664" s="110"/>
      <c r="D664" s="110"/>
      <c r="E664" s="110"/>
      <c r="F664" s="110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" x14ac:dyDescent="0.3">
      <c r="A665" s="1"/>
      <c r="B665" s="110"/>
      <c r="C665" s="110"/>
      <c r="D665" s="110"/>
      <c r="E665" s="110"/>
      <c r="F665" s="110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" x14ac:dyDescent="0.3">
      <c r="A666" s="1"/>
      <c r="B666" s="110"/>
      <c r="C666" s="110"/>
      <c r="D666" s="110"/>
      <c r="E666" s="110"/>
      <c r="F666" s="110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" x14ac:dyDescent="0.3">
      <c r="A667" s="1"/>
      <c r="B667" s="110"/>
      <c r="C667" s="110"/>
      <c r="D667" s="110"/>
      <c r="E667" s="110"/>
      <c r="F667" s="110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" x14ac:dyDescent="0.3">
      <c r="A668" s="1"/>
      <c r="B668" s="110"/>
      <c r="C668" s="110"/>
      <c r="D668" s="110"/>
      <c r="E668" s="110"/>
      <c r="F668" s="110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" x14ac:dyDescent="0.3">
      <c r="A669" s="1"/>
      <c r="B669" s="110"/>
      <c r="C669" s="110"/>
      <c r="D669" s="110"/>
      <c r="E669" s="110"/>
      <c r="F669" s="110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" x14ac:dyDescent="0.3">
      <c r="A670" s="1"/>
      <c r="B670" s="110"/>
      <c r="C670" s="110"/>
      <c r="D670" s="110"/>
      <c r="E670" s="110"/>
      <c r="F670" s="110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" x14ac:dyDescent="0.3">
      <c r="A671" s="1"/>
      <c r="B671" s="110"/>
      <c r="C671" s="110"/>
      <c r="D671" s="110"/>
      <c r="E671" s="110"/>
      <c r="F671" s="110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" x14ac:dyDescent="0.3">
      <c r="A672" s="1"/>
      <c r="B672" s="110"/>
      <c r="C672" s="110"/>
      <c r="D672" s="110"/>
      <c r="E672" s="110"/>
      <c r="F672" s="110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" x14ac:dyDescent="0.3">
      <c r="A673" s="1"/>
      <c r="B673" s="110"/>
      <c r="C673" s="110"/>
      <c r="D673" s="110"/>
      <c r="E673" s="110"/>
      <c r="F673" s="110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" x14ac:dyDescent="0.3">
      <c r="A674" s="1"/>
      <c r="B674" s="110"/>
      <c r="C674" s="110"/>
      <c r="D674" s="110"/>
      <c r="E674" s="110"/>
      <c r="F674" s="110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" x14ac:dyDescent="0.3">
      <c r="A675" s="1"/>
      <c r="B675" s="110"/>
      <c r="C675" s="110"/>
      <c r="D675" s="110"/>
      <c r="E675" s="110"/>
      <c r="F675" s="110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" x14ac:dyDescent="0.3">
      <c r="A676" s="1"/>
      <c r="B676" s="110"/>
      <c r="C676" s="110"/>
      <c r="D676" s="110"/>
      <c r="E676" s="110"/>
      <c r="F676" s="110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" x14ac:dyDescent="0.3">
      <c r="A677" s="1"/>
      <c r="B677" s="110"/>
      <c r="C677" s="110"/>
      <c r="D677" s="110"/>
      <c r="E677" s="110"/>
      <c r="F677" s="110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" x14ac:dyDescent="0.3">
      <c r="A678" s="1"/>
      <c r="B678" s="110"/>
      <c r="C678" s="110"/>
      <c r="D678" s="110"/>
      <c r="E678" s="110"/>
      <c r="F678" s="11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" x14ac:dyDescent="0.3">
      <c r="A679" s="1"/>
      <c r="B679" s="110"/>
      <c r="C679" s="110"/>
      <c r="D679" s="110"/>
      <c r="E679" s="110"/>
      <c r="F679" s="110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" x14ac:dyDescent="0.3">
      <c r="A680" s="1"/>
      <c r="B680" s="110"/>
      <c r="C680" s="110"/>
      <c r="D680" s="110"/>
      <c r="E680" s="110"/>
      <c r="F680" s="110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" x14ac:dyDescent="0.3">
      <c r="A681" s="1"/>
      <c r="B681" s="110"/>
      <c r="C681" s="110"/>
      <c r="D681" s="110"/>
      <c r="E681" s="110"/>
      <c r="F681" s="110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" x14ac:dyDescent="0.3">
      <c r="A682" s="1"/>
      <c r="B682" s="110"/>
      <c r="C682" s="110"/>
      <c r="D682" s="110"/>
      <c r="E682" s="110"/>
      <c r="F682" s="110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" x14ac:dyDescent="0.3">
      <c r="A683" s="1"/>
      <c r="B683" s="110"/>
      <c r="C683" s="110"/>
      <c r="D683" s="110"/>
      <c r="E683" s="110"/>
      <c r="F683" s="110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" x14ac:dyDescent="0.3">
      <c r="A684" s="1"/>
      <c r="B684" s="110"/>
      <c r="C684" s="110"/>
      <c r="D684" s="110"/>
      <c r="E684" s="110"/>
      <c r="F684" s="110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" x14ac:dyDescent="0.3">
      <c r="A685" s="1"/>
      <c r="B685" s="110"/>
      <c r="C685" s="110"/>
      <c r="D685" s="110"/>
      <c r="E685" s="110"/>
      <c r="F685" s="110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" x14ac:dyDescent="0.3">
      <c r="A686" s="1"/>
      <c r="B686" s="110"/>
      <c r="C686" s="110"/>
      <c r="D686" s="110"/>
      <c r="E686" s="110"/>
      <c r="F686" s="110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" x14ac:dyDescent="0.3">
      <c r="A687" s="1"/>
      <c r="B687" s="110"/>
      <c r="C687" s="110"/>
      <c r="D687" s="110"/>
      <c r="E687" s="110"/>
      <c r="F687" s="110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" x14ac:dyDescent="0.3">
      <c r="A688" s="1"/>
      <c r="B688" s="110"/>
      <c r="C688" s="110"/>
      <c r="D688" s="110"/>
      <c r="E688" s="110"/>
      <c r="F688" s="110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" x14ac:dyDescent="0.3">
      <c r="A689" s="1"/>
      <c r="B689" s="110"/>
      <c r="C689" s="110"/>
      <c r="D689" s="110"/>
      <c r="E689" s="110"/>
      <c r="F689" s="110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" x14ac:dyDescent="0.3">
      <c r="A690" s="1"/>
      <c r="B690" s="110"/>
      <c r="C690" s="110"/>
      <c r="D690" s="110"/>
      <c r="E690" s="110"/>
      <c r="F690" s="110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" x14ac:dyDescent="0.3">
      <c r="A691" s="1"/>
      <c r="B691" s="110"/>
      <c r="C691" s="110"/>
      <c r="D691" s="110"/>
      <c r="E691" s="110"/>
      <c r="F691" s="110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" x14ac:dyDescent="0.3">
      <c r="A692" s="1"/>
      <c r="B692" s="110"/>
      <c r="C692" s="110"/>
      <c r="D692" s="110"/>
      <c r="E692" s="110"/>
      <c r="F692" s="110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" x14ac:dyDescent="0.3">
      <c r="A693" s="1"/>
      <c r="B693" s="110"/>
      <c r="C693" s="110"/>
      <c r="D693" s="110"/>
      <c r="E693" s="110"/>
      <c r="F693" s="110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" x14ac:dyDescent="0.3">
      <c r="A694" s="1"/>
      <c r="B694" s="110"/>
      <c r="C694" s="110"/>
      <c r="D694" s="110"/>
      <c r="E694" s="110"/>
      <c r="F694" s="110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" x14ac:dyDescent="0.3">
      <c r="A695" s="1"/>
      <c r="B695" s="110"/>
      <c r="C695" s="110"/>
      <c r="D695" s="110"/>
      <c r="E695" s="110"/>
      <c r="F695" s="11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" x14ac:dyDescent="0.3">
      <c r="A696" s="1"/>
      <c r="B696" s="110"/>
      <c r="C696" s="110"/>
      <c r="D696" s="110"/>
      <c r="E696" s="110"/>
      <c r="F696" s="11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" x14ac:dyDescent="0.3">
      <c r="A697" s="1"/>
      <c r="B697" s="110"/>
      <c r="C697" s="110"/>
      <c r="D697" s="110"/>
      <c r="E697" s="110"/>
      <c r="F697" s="110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" x14ac:dyDescent="0.3">
      <c r="A698" s="1"/>
      <c r="B698" s="110"/>
      <c r="C698" s="110"/>
      <c r="D698" s="110"/>
      <c r="E698" s="110"/>
      <c r="F698" s="110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" x14ac:dyDescent="0.3">
      <c r="A699" s="1"/>
      <c r="B699" s="110"/>
      <c r="C699" s="110"/>
      <c r="D699" s="110"/>
      <c r="E699" s="110"/>
      <c r="F699" s="110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" x14ac:dyDescent="0.3">
      <c r="A700" s="1"/>
      <c r="B700" s="110"/>
      <c r="C700" s="110"/>
      <c r="D700" s="110"/>
      <c r="E700" s="110"/>
      <c r="F700" s="110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" x14ac:dyDescent="0.3">
      <c r="A701" s="1"/>
      <c r="B701" s="110"/>
      <c r="C701" s="110"/>
      <c r="D701" s="110"/>
      <c r="E701" s="110"/>
      <c r="F701" s="110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" x14ac:dyDescent="0.3">
      <c r="A702" s="1"/>
      <c r="B702" s="110"/>
      <c r="C702" s="110"/>
      <c r="D702" s="110"/>
      <c r="E702" s="110"/>
      <c r="F702" s="110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" x14ac:dyDescent="0.3">
      <c r="A703" s="1"/>
      <c r="B703" s="110"/>
      <c r="C703" s="110"/>
      <c r="D703" s="110"/>
      <c r="E703" s="110"/>
      <c r="F703" s="110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" x14ac:dyDescent="0.3">
      <c r="A704" s="1"/>
      <c r="B704" s="110"/>
      <c r="C704" s="110"/>
      <c r="D704" s="110"/>
      <c r="E704" s="110"/>
      <c r="F704" s="110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" x14ac:dyDescent="0.3">
      <c r="A705" s="1"/>
      <c r="B705" s="110"/>
      <c r="C705" s="110"/>
      <c r="D705" s="110"/>
      <c r="E705" s="110"/>
      <c r="F705" s="110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" x14ac:dyDescent="0.3">
      <c r="A706" s="1"/>
      <c r="B706" s="110"/>
      <c r="C706" s="110"/>
      <c r="D706" s="110"/>
      <c r="E706" s="110"/>
      <c r="F706" s="110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" x14ac:dyDescent="0.3">
      <c r="A707" s="1"/>
      <c r="B707" s="110"/>
      <c r="C707" s="110"/>
      <c r="D707" s="110"/>
      <c r="E707" s="110"/>
      <c r="F707" s="110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" x14ac:dyDescent="0.3">
      <c r="A708" s="1"/>
      <c r="B708" s="110"/>
      <c r="C708" s="110"/>
      <c r="D708" s="110"/>
      <c r="E708" s="110"/>
      <c r="F708" s="110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" x14ac:dyDescent="0.3">
      <c r="A709" s="1"/>
      <c r="B709" s="110"/>
      <c r="C709" s="110"/>
      <c r="D709" s="110"/>
      <c r="E709" s="110"/>
      <c r="F709" s="110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" x14ac:dyDescent="0.3">
      <c r="A710" s="1"/>
      <c r="B710" s="110"/>
      <c r="C710" s="110"/>
      <c r="D710" s="110"/>
      <c r="E710" s="110"/>
      <c r="F710" s="110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" x14ac:dyDescent="0.3">
      <c r="A711" s="1"/>
      <c r="B711" s="110"/>
      <c r="C711" s="110"/>
      <c r="D711" s="110"/>
      <c r="E711" s="110"/>
      <c r="F711" s="110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" x14ac:dyDescent="0.3">
      <c r="A712" s="1"/>
      <c r="B712" s="110"/>
      <c r="C712" s="110"/>
      <c r="D712" s="110"/>
      <c r="E712" s="110"/>
      <c r="F712" s="110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" x14ac:dyDescent="0.3">
      <c r="A713" s="1"/>
      <c r="B713" s="110"/>
      <c r="C713" s="110"/>
      <c r="D713" s="110"/>
      <c r="E713" s="110"/>
      <c r="F713" s="110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" x14ac:dyDescent="0.3">
      <c r="A714" s="1"/>
      <c r="B714" s="110"/>
      <c r="C714" s="110"/>
      <c r="D714" s="110"/>
      <c r="E714" s="110"/>
      <c r="F714" s="110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" x14ac:dyDescent="0.3">
      <c r="A715" s="1"/>
      <c r="B715" s="110"/>
      <c r="C715" s="110"/>
      <c r="D715" s="110"/>
      <c r="E715" s="110"/>
      <c r="F715" s="110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" x14ac:dyDescent="0.3">
      <c r="A716" s="1"/>
      <c r="B716" s="110"/>
      <c r="C716" s="110"/>
      <c r="D716" s="110"/>
      <c r="E716" s="110"/>
      <c r="F716" s="110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" x14ac:dyDescent="0.3">
      <c r="A717" s="1"/>
      <c r="B717" s="110"/>
      <c r="C717" s="110"/>
      <c r="D717" s="110"/>
      <c r="E717" s="110"/>
      <c r="F717" s="110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" x14ac:dyDescent="0.3">
      <c r="A718" s="1"/>
      <c r="B718" s="110"/>
      <c r="C718" s="110"/>
      <c r="D718" s="110"/>
      <c r="E718" s="110"/>
      <c r="F718" s="110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" x14ac:dyDescent="0.3">
      <c r="A719" s="1"/>
      <c r="B719" s="110"/>
      <c r="C719" s="110"/>
      <c r="D719" s="110"/>
      <c r="E719" s="110"/>
      <c r="F719" s="110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" x14ac:dyDescent="0.3">
      <c r="A720" s="1"/>
      <c r="B720" s="110"/>
      <c r="C720" s="110"/>
      <c r="D720" s="110"/>
      <c r="E720" s="110"/>
      <c r="F720" s="110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" x14ac:dyDescent="0.3">
      <c r="A721" s="1"/>
      <c r="B721" s="110"/>
      <c r="C721" s="110"/>
      <c r="D721" s="110"/>
      <c r="E721" s="110"/>
      <c r="F721" s="110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" x14ac:dyDescent="0.3">
      <c r="A722" s="1"/>
      <c r="B722" s="110"/>
      <c r="C722" s="110"/>
      <c r="D722" s="110"/>
      <c r="E722" s="110"/>
      <c r="F722" s="110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" x14ac:dyDescent="0.3">
      <c r="A723" s="1"/>
      <c r="B723" s="110"/>
      <c r="C723" s="110"/>
      <c r="D723" s="110"/>
      <c r="E723" s="110"/>
      <c r="F723" s="110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" x14ac:dyDescent="0.3">
      <c r="A724" s="1"/>
      <c r="B724" s="110"/>
      <c r="C724" s="110"/>
      <c r="D724" s="110"/>
      <c r="E724" s="110"/>
      <c r="F724" s="110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" x14ac:dyDescent="0.3">
      <c r="A725" s="1"/>
      <c r="B725" s="110"/>
      <c r="C725" s="110"/>
      <c r="D725" s="110"/>
      <c r="E725" s="110"/>
      <c r="F725" s="110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" x14ac:dyDescent="0.3">
      <c r="A726" s="1"/>
      <c r="B726" s="110"/>
      <c r="C726" s="110"/>
      <c r="D726" s="110"/>
      <c r="E726" s="110"/>
      <c r="F726" s="110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" x14ac:dyDescent="0.3">
      <c r="A727" s="1"/>
      <c r="B727" s="110"/>
      <c r="C727" s="110"/>
      <c r="D727" s="110"/>
      <c r="E727" s="110"/>
      <c r="F727" s="110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" x14ac:dyDescent="0.3">
      <c r="A728" s="1"/>
      <c r="B728" s="110"/>
      <c r="C728" s="110"/>
      <c r="D728" s="110"/>
      <c r="E728" s="110"/>
      <c r="F728" s="110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" x14ac:dyDescent="0.3">
      <c r="A729" s="1"/>
      <c r="B729" s="110"/>
      <c r="C729" s="110"/>
      <c r="D729" s="110"/>
      <c r="E729" s="110"/>
      <c r="F729" s="110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" x14ac:dyDescent="0.3">
      <c r="A730" s="1"/>
      <c r="B730" s="110"/>
      <c r="C730" s="110"/>
      <c r="D730" s="110"/>
      <c r="E730" s="110"/>
      <c r="F730" s="110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" x14ac:dyDescent="0.3">
      <c r="A731" s="1"/>
      <c r="B731" s="110"/>
      <c r="C731" s="110"/>
      <c r="D731" s="110"/>
      <c r="E731" s="110"/>
      <c r="F731" s="110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" x14ac:dyDescent="0.3">
      <c r="A732" s="1"/>
      <c r="B732" s="110"/>
      <c r="C732" s="110"/>
      <c r="D732" s="110"/>
      <c r="E732" s="110"/>
      <c r="F732" s="110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" x14ac:dyDescent="0.3">
      <c r="A733" s="1"/>
      <c r="B733" s="110"/>
      <c r="C733" s="110"/>
      <c r="D733" s="110"/>
      <c r="E733" s="110"/>
      <c r="F733" s="110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" x14ac:dyDescent="0.3">
      <c r="A734" s="1"/>
      <c r="B734" s="110"/>
      <c r="C734" s="110"/>
      <c r="D734" s="110"/>
      <c r="E734" s="110"/>
      <c r="F734" s="110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" x14ac:dyDescent="0.3">
      <c r="A735" s="1"/>
      <c r="B735" s="110"/>
      <c r="C735" s="110"/>
      <c r="D735" s="110"/>
      <c r="E735" s="110"/>
      <c r="F735" s="110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" x14ac:dyDescent="0.3">
      <c r="A736" s="1"/>
      <c r="B736" s="110"/>
      <c r="C736" s="110"/>
      <c r="D736" s="110"/>
      <c r="E736" s="110"/>
      <c r="F736" s="110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" x14ac:dyDescent="0.3">
      <c r="A737" s="1"/>
      <c r="B737" s="110"/>
      <c r="C737" s="110"/>
      <c r="D737" s="110"/>
      <c r="E737" s="110"/>
      <c r="F737" s="110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" x14ac:dyDescent="0.3">
      <c r="A738" s="1"/>
      <c r="B738" s="110"/>
      <c r="C738" s="110"/>
      <c r="D738" s="110"/>
      <c r="E738" s="110"/>
      <c r="F738" s="110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" x14ac:dyDescent="0.3">
      <c r="A739" s="1"/>
      <c r="B739" s="110"/>
      <c r="C739" s="110"/>
      <c r="D739" s="110"/>
      <c r="E739" s="110"/>
      <c r="F739" s="110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" x14ac:dyDescent="0.3">
      <c r="A740" s="1"/>
      <c r="B740" s="110"/>
      <c r="C740" s="110"/>
      <c r="D740" s="110"/>
      <c r="E740" s="110"/>
      <c r="F740" s="110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" x14ac:dyDescent="0.3">
      <c r="A741" s="1"/>
      <c r="B741" s="110"/>
      <c r="C741" s="110"/>
      <c r="D741" s="110"/>
      <c r="E741" s="110"/>
      <c r="F741" s="110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" x14ac:dyDescent="0.3">
      <c r="A742" s="1"/>
      <c r="B742" s="110"/>
      <c r="C742" s="110"/>
      <c r="D742" s="110"/>
      <c r="E742" s="110"/>
      <c r="F742" s="110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" x14ac:dyDescent="0.3">
      <c r="A743" s="1"/>
      <c r="B743" s="110"/>
      <c r="C743" s="110"/>
      <c r="D743" s="110"/>
      <c r="E743" s="110"/>
      <c r="F743" s="110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" x14ac:dyDescent="0.3">
      <c r="A744" s="1"/>
      <c r="B744" s="110"/>
      <c r="C744" s="110"/>
      <c r="D744" s="110"/>
      <c r="E744" s="110"/>
      <c r="F744" s="110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" x14ac:dyDescent="0.3">
      <c r="A745" s="1"/>
      <c r="B745" s="110"/>
      <c r="C745" s="110"/>
      <c r="D745" s="110"/>
      <c r="E745" s="110"/>
      <c r="F745" s="110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" x14ac:dyDescent="0.3">
      <c r="A746" s="1"/>
      <c r="B746" s="110"/>
      <c r="C746" s="110"/>
      <c r="D746" s="110"/>
      <c r="E746" s="110"/>
      <c r="F746" s="110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" x14ac:dyDescent="0.3">
      <c r="A747" s="1"/>
      <c r="B747" s="110"/>
      <c r="C747" s="110"/>
      <c r="D747" s="110"/>
      <c r="E747" s="110"/>
      <c r="F747" s="110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" x14ac:dyDescent="0.3">
      <c r="A748" s="1"/>
      <c r="B748" s="110"/>
      <c r="C748" s="110"/>
      <c r="D748" s="110"/>
      <c r="E748" s="110"/>
      <c r="F748" s="110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" x14ac:dyDescent="0.3">
      <c r="A749" s="1"/>
      <c r="B749" s="110"/>
      <c r="C749" s="110"/>
      <c r="D749" s="110"/>
      <c r="E749" s="110"/>
      <c r="F749" s="110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" x14ac:dyDescent="0.3">
      <c r="A750" s="1"/>
      <c r="B750" s="110"/>
      <c r="C750" s="110"/>
      <c r="D750" s="110"/>
      <c r="E750" s="110"/>
      <c r="F750" s="110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" x14ac:dyDescent="0.3">
      <c r="A751" s="1"/>
      <c r="B751" s="110"/>
      <c r="C751" s="110"/>
      <c r="D751" s="110"/>
      <c r="E751" s="110"/>
      <c r="F751" s="110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" x14ac:dyDescent="0.3">
      <c r="A752" s="1"/>
      <c r="B752" s="110"/>
      <c r="C752" s="110"/>
      <c r="D752" s="110"/>
      <c r="E752" s="110"/>
      <c r="F752" s="110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" x14ac:dyDescent="0.3">
      <c r="A753" s="1"/>
      <c r="B753" s="110"/>
      <c r="C753" s="110"/>
      <c r="D753" s="110"/>
      <c r="E753" s="110"/>
      <c r="F753" s="110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" x14ac:dyDescent="0.3">
      <c r="A754" s="1"/>
      <c r="B754" s="110"/>
      <c r="C754" s="110"/>
      <c r="D754" s="110"/>
      <c r="E754" s="110"/>
      <c r="F754" s="110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" x14ac:dyDescent="0.3">
      <c r="A755" s="1"/>
      <c r="B755" s="110"/>
      <c r="C755" s="110"/>
      <c r="D755" s="110"/>
      <c r="E755" s="110"/>
      <c r="F755" s="110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" x14ac:dyDescent="0.3">
      <c r="A756" s="1"/>
      <c r="B756" s="110"/>
      <c r="C756" s="110"/>
      <c r="D756" s="110"/>
      <c r="E756" s="110"/>
      <c r="F756" s="110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" x14ac:dyDescent="0.3">
      <c r="A757" s="1"/>
      <c r="B757" s="110"/>
      <c r="C757" s="110"/>
      <c r="D757" s="110"/>
      <c r="E757" s="110"/>
      <c r="F757" s="110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" x14ac:dyDescent="0.3">
      <c r="A758" s="1"/>
      <c r="B758" s="110"/>
      <c r="C758" s="110"/>
      <c r="D758" s="110"/>
      <c r="E758" s="110"/>
      <c r="F758" s="110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" x14ac:dyDescent="0.3">
      <c r="A759" s="1"/>
      <c r="B759" s="110"/>
      <c r="C759" s="110"/>
      <c r="D759" s="110"/>
      <c r="E759" s="110"/>
      <c r="F759" s="110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" x14ac:dyDescent="0.3">
      <c r="A760" s="1"/>
      <c r="B760" s="110"/>
      <c r="C760" s="110"/>
      <c r="D760" s="110"/>
      <c r="E760" s="110"/>
      <c r="F760" s="110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" x14ac:dyDescent="0.3">
      <c r="A761" s="1"/>
      <c r="B761" s="110"/>
      <c r="C761" s="110"/>
      <c r="D761" s="110"/>
      <c r="E761" s="110"/>
      <c r="F761" s="110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" x14ac:dyDescent="0.3">
      <c r="A762" s="1"/>
      <c r="B762" s="110"/>
      <c r="C762" s="110"/>
      <c r="D762" s="110"/>
      <c r="E762" s="110"/>
      <c r="F762" s="110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" x14ac:dyDescent="0.3">
      <c r="A763" s="1"/>
      <c r="B763" s="110"/>
      <c r="C763" s="110"/>
      <c r="D763" s="110"/>
      <c r="E763" s="110"/>
      <c r="F763" s="110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" x14ac:dyDescent="0.3">
      <c r="A764" s="1"/>
      <c r="B764" s="110"/>
      <c r="C764" s="110"/>
      <c r="D764" s="110"/>
      <c r="E764" s="110"/>
      <c r="F764" s="110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" x14ac:dyDescent="0.3">
      <c r="A765" s="1"/>
      <c r="B765" s="110"/>
      <c r="C765" s="110"/>
      <c r="D765" s="110"/>
      <c r="E765" s="110"/>
      <c r="F765" s="110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" x14ac:dyDescent="0.3">
      <c r="A766" s="1"/>
      <c r="B766" s="110"/>
      <c r="C766" s="110"/>
      <c r="D766" s="110"/>
      <c r="E766" s="110"/>
      <c r="F766" s="110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" x14ac:dyDescent="0.3">
      <c r="A767" s="1"/>
      <c r="B767" s="110"/>
      <c r="C767" s="110"/>
      <c r="D767" s="110"/>
      <c r="E767" s="110"/>
      <c r="F767" s="110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" x14ac:dyDescent="0.3">
      <c r="A768" s="1"/>
      <c r="B768" s="110"/>
      <c r="C768" s="110"/>
      <c r="D768" s="110"/>
      <c r="E768" s="110"/>
      <c r="F768" s="110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" x14ac:dyDescent="0.3">
      <c r="A769" s="1"/>
      <c r="B769" s="110"/>
      <c r="C769" s="110"/>
      <c r="D769" s="110"/>
      <c r="E769" s="110"/>
      <c r="F769" s="110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" x14ac:dyDescent="0.3">
      <c r="A770" s="1"/>
      <c r="B770" s="110"/>
      <c r="C770" s="110"/>
      <c r="D770" s="110"/>
      <c r="E770" s="110"/>
      <c r="F770" s="110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" x14ac:dyDescent="0.3">
      <c r="A771" s="1"/>
      <c r="B771" s="110"/>
      <c r="C771" s="110"/>
      <c r="D771" s="110"/>
      <c r="E771" s="110"/>
      <c r="F771" s="110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" x14ac:dyDescent="0.3">
      <c r="A772" s="1"/>
      <c r="B772" s="110"/>
      <c r="C772" s="110"/>
      <c r="D772" s="110"/>
      <c r="E772" s="110"/>
      <c r="F772" s="110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" x14ac:dyDescent="0.3">
      <c r="A773" s="1"/>
      <c r="B773" s="110"/>
      <c r="C773" s="110"/>
      <c r="D773" s="110"/>
      <c r="E773" s="110"/>
      <c r="F773" s="110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" x14ac:dyDescent="0.3">
      <c r="A774" s="1"/>
      <c r="B774" s="110"/>
      <c r="C774" s="110"/>
      <c r="D774" s="110"/>
      <c r="E774" s="110"/>
      <c r="F774" s="110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" x14ac:dyDescent="0.3">
      <c r="A775" s="1"/>
      <c r="B775" s="110"/>
      <c r="C775" s="110"/>
      <c r="D775" s="110"/>
      <c r="E775" s="110"/>
      <c r="F775" s="110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" x14ac:dyDescent="0.3">
      <c r="A776" s="1"/>
      <c r="B776" s="110"/>
      <c r="C776" s="110"/>
      <c r="D776" s="110"/>
      <c r="E776" s="110"/>
      <c r="F776" s="110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" x14ac:dyDescent="0.3">
      <c r="A777" s="1"/>
      <c r="B777" s="110"/>
      <c r="C777" s="110"/>
      <c r="D777" s="110"/>
      <c r="E777" s="110"/>
      <c r="F777" s="110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" x14ac:dyDescent="0.3">
      <c r="A778" s="1"/>
      <c r="B778" s="110"/>
      <c r="C778" s="110"/>
      <c r="D778" s="110"/>
      <c r="E778" s="110"/>
      <c r="F778" s="110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" x14ac:dyDescent="0.3">
      <c r="A779" s="1"/>
      <c r="B779" s="110"/>
      <c r="C779" s="110"/>
      <c r="D779" s="110"/>
      <c r="E779" s="110"/>
      <c r="F779" s="110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" x14ac:dyDescent="0.3">
      <c r="A780" s="1"/>
      <c r="B780" s="110"/>
      <c r="C780" s="110"/>
      <c r="D780" s="110"/>
      <c r="E780" s="110"/>
      <c r="F780" s="110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" x14ac:dyDescent="0.3">
      <c r="A781" s="1"/>
      <c r="B781" s="110"/>
      <c r="C781" s="110"/>
      <c r="D781" s="110"/>
      <c r="E781" s="110"/>
      <c r="F781" s="110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" x14ac:dyDescent="0.3">
      <c r="A782" s="1"/>
      <c r="B782" s="110"/>
      <c r="C782" s="110"/>
      <c r="D782" s="110"/>
      <c r="E782" s="110"/>
      <c r="F782" s="110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" x14ac:dyDescent="0.3">
      <c r="A783" s="1"/>
      <c r="B783" s="110"/>
      <c r="C783" s="110"/>
      <c r="D783" s="110"/>
      <c r="E783" s="110"/>
      <c r="F783" s="110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" x14ac:dyDescent="0.3">
      <c r="A784" s="1"/>
      <c r="B784" s="110"/>
      <c r="C784" s="110"/>
      <c r="D784" s="110"/>
      <c r="E784" s="110"/>
      <c r="F784" s="110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" x14ac:dyDescent="0.3">
      <c r="A785" s="1"/>
      <c r="B785" s="110"/>
      <c r="C785" s="110"/>
      <c r="D785" s="110"/>
      <c r="E785" s="110"/>
      <c r="F785" s="110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" x14ac:dyDescent="0.3">
      <c r="A786" s="1"/>
      <c r="B786" s="110"/>
      <c r="C786" s="110"/>
      <c r="D786" s="110"/>
      <c r="E786" s="110"/>
      <c r="F786" s="110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" x14ac:dyDescent="0.3">
      <c r="A787" s="1"/>
      <c r="B787" s="110"/>
      <c r="C787" s="110"/>
      <c r="D787" s="110"/>
      <c r="E787" s="110"/>
      <c r="F787" s="110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" x14ac:dyDescent="0.3">
      <c r="A788" s="1"/>
      <c r="B788" s="110"/>
      <c r="C788" s="110"/>
      <c r="D788" s="110"/>
      <c r="E788" s="110"/>
      <c r="F788" s="110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" x14ac:dyDescent="0.3">
      <c r="A789" s="1"/>
      <c r="B789" s="110"/>
      <c r="C789" s="110"/>
      <c r="D789" s="110"/>
      <c r="E789" s="110"/>
      <c r="F789" s="110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" x14ac:dyDescent="0.3">
      <c r="A790" s="1"/>
      <c r="B790" s="110"/>
      <c r="C790" s="110"/>
      <c r="D790" s="110"/>
      <c r="E790" s="110"/>
      <c r="F790" s="110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" x14ac:dyDescent="0.3">
      <c r="A791" s="1"/>
      <c r="B791" s="110"/>
      <c r="C791" s="110"/>
      <c r="D791" s="110"/>
      <c r="E791" s="110"/>
      <c r="F791" s="110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" x14ac:dyDescent="0.3">
      <c r="A792" s="1"/>
      <c r="B792" s="110"/>
      <c r="C792" s="110"/>
      <c r="D792" s="110"/>
      <c r="E792" s="110"/>
      <c r="F792" s="110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" x14ac:dyDescent="0.3">
      <c r="A793" s="1"/>
      <c r="B793" s="110"/>
      <c r="C793" s="110"/>
      <c r="D793" s="110"/>
      <c r="E793" s="110"/>
      <c r="F793" s="110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" x14ac:dyDescent="0.3">
      <c r="A794" s="1"/>
      <c r="B794" s="110"/>
      <c r="C794" s="110"/>
      <c r="D794" s="110"/>
      <c r="E794" s="110"/>
      <c r="F794" s="110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" x14ac:dyDescent="0.3">
      <c r="A795" s="1"/>
      <c r="B795" s="110"/>
      <c r="C795" s="110"/>
      <c r="D795" s="110"/>
      <c r="E795" s="110"/>
      <c r="F795" s="110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" x14ac:dyDescent="0.3">
      <c r="A796" s="1"/>
      <c r="B796" s="110"/>
      <c r="C796" s="110"/>
      <c r="D796" s="110"/>
      <c r="E796" s="110"/>
      <c r="F796" s="110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" x14ac:dyDescent="0.3">
      <c r="A797" s="1"/>
      <c r="B797" s="110"/>
      <c r="C797" s="110"/>
      <c r="D797" s="110"/>
      <c r="E797" s="110"/>
      <c r="F797" s="110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" x14ac:dyDescent="0.3">
      <c r="A798" s="1"/>
      <c r="B798" s="110"/>
      <c r="C798" s="110"/>
      <c r="D798" s="110"/>
      <c r="E798" s="110"/>
      <c r="F798" s="110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" x14ac:dyDescent="0.3">
      <c r="A799" s="1"/>
      <c r="B799" s="110"/>
      <c r="C799" s="110"/>
      <c r="D799" s="110"/>
      <c r="E799" s="110"/>
      <c r="F799" s="110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" x14ac:dyDescent="0.3">
      <c r="A800" s="1"/>
      <c r="B800" s="110"/>
      <c r="C800" s="110"/>
      <c r="D800" s="110"/>
      <c r="E800" s="110"/>
      <c r="F800" s="110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" x14ac:dyDescent="0.3">
      <c r="A801" s="1"/>
      <c r="B801" s="110"/>
      <c r="C801" s="110"/>
      <c r="D801" s="110"/>
      <c r="E801" s="110"/>
      <c r="F801" s="110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" x14ac:dyDescent="0.3">
      <c r="A802" s="1"/>
      <c r="B802" s="110"/>
      <c r="C802" s="110"/>
      <c r="D802" s="110"/>
      <c r="E802" s="110"/>
      <c r="F802" s="110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" x14ac:dyDescent="0.3">
      <c r="A803" s="1"/>
      <c r="B803" s="110"/>
      <c r="C803" s="110"/>
      <c r="D803" s="110"/>
      <c r="E803" s="110"/>
      <c r="F803" s="110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" x14ac:dyDescent="0.3">
      <c r="A804" s="1"/>
      <c r="B804" s="110"/>
      <c r="C804" s="110"/>
      <c r="D804" s="110"/>
      <c r="E804" s="110"/>
      <c r="F804" s="110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" x14ac:dyDescent="0.3">
      <c r="A805" s="1"/>
      <c r="B805" s="110"/>
      <c r="C805" s="110"/>
      <c r="D805" s="110"/>
      <c r="E805" s="110"/>
      <c r="F805" s="110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" x14ac:dyDescent="0.3">
      <c r="A806" s="1"/>
      <c r="B806" s="110"/>
      <c r="C806" s="110"/>
      <c r="D806" s="110"/>
      <c r="E806" s="110"/>
      <c r="F806" s="110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" x14ac:dyDescent="0.3">
      <c r="A807" s="1"/>
      <c r="B807" s="110"/>
      <c r="C807" s="110"/>
      <c r="D807" s="110"/>
      <c r="E807" s="110"/>
      <c r="F807" s="110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" x14ac:dyDescent="0.3">
      <c r="A808" s="1"/>
      <c r="B808" s="110"/>
      <c r="C808" s="110"/>
      <c r="D808" s="110"/>
      <c r="E808" s="110"/>
      <c r="F808" s="110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" x14ac:dyDescent="0.3">
      <c r="A809" s="1"/>
      <c r="B809" s="110"/>
      <c r="C809" s="110"/>
      <c r="D809" s="110"/>
      <c r="E809" s="110"/>
      <c r="F809" s="110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" x14ac:dyDescent="0.3">
      <c r="A810" s="1"/>
      <c r="B810" s="110"/>
      <c r="C810" s="110"/>
      <c r="D810" s="110"/>
      <c r="E810" s="110"/>
      <c r="F810" s="110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" x14ac:dyDescent="0.3">
      <c r="A811" s="1"/>
      <c r="B811" s="110"/>
      <c r="C811" s="110"/>
      <c r="D811" s="110"/>
      <c r="E811" s="110"/>
      <c r="F811" s="110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" x14ac:dyDescent="0.3">
      <c r="A812" s="1"/>
      <c r="B812" s="110"/>
      <c r="C812" s="110"/>
      <c r="D812" s="110"/>
      <c r="E812" s="110"/>
      <c r="F812" s="110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" x14ac:dyDescent="0.3">
      <c r="A813" s="1"/>
      <c r="B813" s="110"/>
      <c r="C813" s="110"/>
      <c r="D813" s="110"/>
      <c r="E813" s="110"/>
      <c r="F813" s="110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" x14ac:dyDescent="0.3">
      <c r="A814" s="1"/>
      <c r="B814" s="110"/>
      <c r="C814" s="110"/>
      <c r="D814" s="110"/>
      <c r="E814" s="110"/>
      <c r="F814" s="110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" x14ac:dyDescent="0.3">
      <c r="A815" s="1"/>
      <c r="B815" s="110"/>
      <c r="C815" s="110"/>
      <c r="D815" s="110"/>
      <c r="E815" s="110"/>
      <c r="F815" s="110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" x14ac:dyDescent="0.3">
      <c r="A816" s="1"/>
      <c r="B816" s="110"/>
      <c r="C816" s="110"/>
      <c r="D816" s="110"/>
      <c r="E816" s="110"/>
      <c r="F816" s="110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" x14ac:dyDescent="0.3">
      <c r="A817" s="1"/>
      <c r="B817" s="110"/>
      <c r="C817" s="110"/>
      <c r="D817" s="110"/>
      <c r="E817" s="110"/>
      <c r="F817" s="110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" x14ac:dyDescent="0.3">
      <c r="A818" s="1"/>
      <c r="B818" s="110"/>
      <c r="C818" s="110"/>
      <c r="D818" s="110"/>
      <c r="E818" s="110"/>
      <c r="F818" s="110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" x14ac:dyDescent="0.3">
      <c r="A819" s="1"/>
      <c r="B819" s="110"/>
      <c r="C819" s="110"/>
      <c r="D819" s="110"/>
      <c r="E819" s="110"/>
      <c r="F819" s="110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" x14ac:dyDescent="0.3">
      <c r="A820" s="1"/>
      <c r="B820" s="110"/>
      <c r="C820" s="110"/>
      <c r="D820" s="110"/>
      <c r="E820" s="110"/>
      <c r="F820" s="110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" x14ac:dyDescent="0.3">
      <c r="A821" s="1"/>
      <c r="B821" s="110"/>
      <c r="C821" s="110"/>
      <c r="D821" s="110"/>
      <c r="E821" s="110"/>
      <c r="F821" s="110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" x14ac:dyDescent="0.3">
      <c r="A822" s="1"/>
      <c r="B822" s="110"/>
      <c r="C822" s="110"/>
      <c r="D822" s="110"/>
      <c r="E822" s="110"/>
      <c r="F822" s="110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" x14ac:dyDescent="0.3">
      <c r="A823" s="1"/>
      <c r="B823" s="110"/>
      <c r="C823" s="110"/>
      <c r="D823" s="110"/>
      <c r="E823" s="110"/>
      <c r="F823" s="110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" x14ac:dyDescent="0.3">
      <c r="A824" s="1"/>
      <c r="B824" s="110"/>
      <c r="C824" s="110"/>
      <c r="D824" s="110"/>
      <c r="E824" s="110"/>
      <c r="F824" s="110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" x14ac:dyDescent="0.3">
      <c r="A825" s="1"/>
      <c r="B825" s="110"/>
      <c r="C825" s="110"/>
      <c r="D825" s="110"/>
      <c r="E825" s="110"/>
      <c r="F825" s="110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" x14ac:dyDescent="0.3">
      <c r="A826" s="1"/>
      <c r="B826" s="110"/>
      <c r="C826" s="110"/>
      <c r="D826" s="110"/>
      <c r="E826" s="110"/>
      <c r="F826" s="110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" x14ac:dyDescent="0.3">
      <c r="A827" s="1"/>
      <c r="B827" s="110"/>
      <c r="C827" s="110"/>
      <c r="D827" s="110"/>
      <c r="E827" s="110"/>
      <c r="F827" s="110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" x14ac:dyDescent="0.3">
      <c r="A828" s="1"/>
      <c r="B828" s="110"/>
      <c r="C828" s="110"/>
      <c r="D828" s="110"/>
      <c r="E828" s="110"/>
      <c r="F828" s="110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" x14ac:dyDescent="0.3">
      <c r="A829" s="1"/>
      <c r="B829" s="110"/>
      <c r="C829" s="110"/>
      <c r="D829" s="110"/>
      <c r="E829" s="110"/>
      <c r="F829" s="110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" x14ac:dyDescent="0.3">
      <c r="A830" s="1"/>
      <c r="B830" s="110"/>
      <c r="C830" s="110"/>
      <c r="D830" s="110"/>
      <c r="E830" s="110"/>
      <c r="F830" s="110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" x14ac:dyDescent="0.3">
      <c r="A831" s="1"/>
      <c r="B831" s="110"/>
      <c r="C831" s="110"/>
      <c r="D831" s="110"/>
      <c r="E831" s="110"/>
      <c r="F831" s="110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" x14ac:dyDescent="0.3">
      <c r="A832" s="1"/>
      <c r="B832" s="110"/>
      <c r="C832" s="110"/>
      <c r="D832" s="110"/>
      <c r="E832" s="110"/>
      <c r="F832" s="110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" x14ac:dyDescent="0.3">
      <c r="A833" s="1"/>
      <c r="B833" s="110"/>
      <c r="C833" s="110"/>
      <c r="D833" s="110"/>
      <c r="E833" s="110"/>
      <c r="F833" s="110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" x14ac:dyDescent="0.3">
      <c r="A834" s="1"/>
      <c r="B834" s="110"/>
      <c r="C834" s="110"/>
      <c r="D834" s="110"/>
      <c r="E834" s="110"/>
      <c r="F834" s="110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" x14ac:dyDescent="0.3">
      <c r="A835" s="1"/>
      <c r="B835" s="110"/>
      <c r="C835" s="110"/>
      <c r="D835" s="110"/>
      <c r="E835" s="110"/>
      <c r="F835" s="110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" x14ac:dyDescent="0.3">
      <c r="A836" s="1"/>
      <c r="B836" s="110"/>
      <c r="C836" s="110"/>
      <c r="D836" s="110"/>
      <c r="E836" s="110"/>
      <c r="F836" s="110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" x14ac:dyDescent="0.3">
      <c r="A837" s="1"/>
      <c r="B837" s="110"/>
      <c r="C837" s="110"/>
      <c r="D837" s="110"/>
      <c r="E837" s="110"/>
      <c r="F837" s="110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" x14ac:dyDescent="0.3">
      <c r="A838" s="1"/>
      <c r="B838" s="110"/>
      <c r="C838" s="110"/>
      <c r="D838" s="110"/>
      <c r="E838" s="110"/>
      <c r="F838" s="110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" x14ac:dyDescent="0.3">
      <c r="A839" s="1"/>
      <c r="B839" s="110"/>
      <c r="C839" s="110"/>
      <c r="D839" s="110"/>
      <c r="E839" s="110"/>
      <c r="F839" s="110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" x14ac:dyDescent="0.3">
      <c r="A840" s="1"/>
      <c r="B840" s="110"/>
      <c r="C840" s="110"/>
      <c r="D840" s="110"/>
      <c r="E840" s="110"/>
      <c r="F840" s="110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" x14ac:dyDescent="0.3">
      <c r="A841" s="1"/>
      <c r="B841" s="110"/>
      <c r="C841" s="110"/>
      <c r="D841" s="110"/>
      <c r="E841" s="110"/>
      <c r="F841" s="110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" x14ac:dyDescent="0.3">
      <c r="A842" s="1"/>
      <c r="B842" s="110"/>
      <c r="C842" s="110"/>
      <c r="D842" s="110"/>
      <c r="E842" s="110"/>
      <c r="F842" s="110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" x14ac:dyDescent="0.3">
      <c r="A843" s="1"/>
      <c r="B843" s="110"/>
      <c r="C843" s="110"/>
      <c r="D843" s="110"/>
      <c r="E843" s="110"/>
      <c r="F843" s="110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" x14ac:dyDescent="0.3">
      <c r="A844" s="1"/>
      <c r="B844" s="110"/>
      <c r="C844" s="110"/>
      <c r="D844" s="110"/>
      <c r="E844" s="110"/>
      <c r="F844" s="110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" x14ac:dyDescent="0.3">
      <c r="A845" s="1"/>
      <c r="B845" s="110"/>
      <c r="C845" s="110"/>
      <c r="D845" s="110"/>
      <c r="E845" s="110"/>
      <c r="F845" s="110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" x14ac:dyDescent="0.3">
      <c r="A846" s="1"/>
      <c r="B846" s="110"/>
      <c r="C846" s="110"/>
      <c r="D846" s="110"/>
      <c r="E846" s="110"/>
      <c r="F846" s="110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" x14ac:dyDescent="0.3">
      <c r="A847" s="1"/>
      <c r="B847" s="110"/>
      <c r="C847" s="110"/>
      <c r="D847" s="110"/>
      <c r="E847" s="110"/>
      <c r="F847" s="110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" x14ac:dyDescent="0.3">
      <c r="A848" s="1"/>
      <c r="B848" s="110"/>
      <c r="C848" s="110"/>
      <c r="D848" s="110"/>
      <c r="E848" s="110"/>
      <c r="F848" s="110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" x14ac:dyDescent="0.3">
      <c r="A849" s="1"/>
      <c r="B849" s="110"/>
      <c r="C849" s="110"/>
      <c r="D849" s="110"/>
      <c r="E849" s="110"/>
      <c r="F849" s="110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" x14ac:dyDescent="0.3">
      <c r="A850" s="1"/>
      <c r="B850" s="110"/>
      <c r="C850" s="110"/>
      <c r="D850" s="110"/>
      <c r="E850" s="110"/>
      <c r="F850" s="110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" x14ac:dyDescent="0.3">
      <c r="A851" s="1"/>
      <c r="B851" s="110"/>
      <c r="C851" s="110"/>
      <c r="D851" s="110"/>
      <c r="E851" s="110"/>
      <c r="F851" s="110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" x14ac:dyDescent="0.3">
      <c r="A852" s="1"/>
      <c r="B852" s="110"/>
      <c r="C852" s="110"/>
      <c r="D852" s="110"/>
      <c r="E852" s="110"/>
      <c r="F852" s="110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" x14ac:dyDescent="0.3">
      <c r="A853" s="1"/>
      <c r="B853" s="110"/>
      <c r="C853" s="110"/>
      <c r="D853" s="110"/>
      <c r="E853" s="110"/>
      <c r="F853" s="110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" x14ac:dyDescent="0.3">
      <c r="A854" s="1"/>
      <c r="B854" s="110"/>
      <c r="C854" s="110"/>
      <c r="D854" s="110"/>
      <c r="E854" s="110"/>
      <c r="F854" s="110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" x14ac:dyDescent="0.3">
      <c r="A855" s="1"/>
      <c r="B855" s="110"/>
      <c r="C855" s="110"/>
      <c r="D855" s="110"/>
      <c r="E855" s="110"/>
      <c r="F855" s="110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" x14ac:dyDescent="0.3">
      <c r="A856" s="1"/>
      <c r="B856" s="110"/>
      <c r="C856" s="110"/>
      <c r="D856" s="110"/>
      <c r="E856" s="110"/>
      <c r="F856" s="110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" x14ac:dyDescent="0.3">
      <c r="A857" s="1"/>
      <c r="B857" s="110"/>
      <c r="C857" s="110"/>
      <c r="D857" s="110"/>
      <c r="E857" s="110"/>
      <c r="F857" s="110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" x14ac:dyDescent="0.3">
      <c r="A858" s="1"/>
      <c r="B858" s="110"/>
      <c r="C858" s="110"/>
      <c r="D858" s="110"/>
      <c r="E858" s="110"/>
      <c r="F858" s="110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" x14ac:dyDescent="0.3">
      <c r="A859" s="1"/>
      <c r="B859" s="110"/>
      <c r="C859" s="110"/>
      <c r="D859" s="110"/>
      <c r="E859" s="110"/>
      <c r="F859" s="110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" x14ac:dyDescent="0.3">
      <c r="A860" s="1"/>
      <c r="B860" s="110"/>
      <c r="C860" s="110"/>
      <c r="D860" s="110"/>
      <c r="E860" s="110"/>
      <c r="F860" s="110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" x14ac:dyDescent="0.3">
      <c r="A861" s="1"/>
      <c r="B861" s="110"/>
      <c r="C861" s="110"/>
      <c r="D861" s="110"/>
      <c r="E861" s="110"/>
      <c r="F861" s="110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" x14ac:dyDescent="0.3">
      <c r="A862" s="1"/>
      <c r="B862" s="110"/>
      <c r="C862" s="110"/>
      <c r="D862" s="110"/>
      <c r="E862" s="110"/>
      <c r="F862" s="110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" x14ac:dyDescent="0.3">
      <c r="A863" s="1"/>
      <c r="B863" s="110"/>
      <c r="C863" s="110"/>
      <c r="D863" s="110"/>
      <c r="E863" s="110"/>
      <c r="F863" s="110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" x14ac:dyDescent="0.3">
      <c r="A864" s="1"/>
      <c r="B864" s="110"/>
      <c r="C864" s="110"/>
      <c r="D864" s="110"/>
      <c r="E864" s="110"/>
      <c r="F864" s="110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" x14ac:dyDescent="0.3">
      <c r="A865" s="1"/>
      <c r="B865" s="110"/>
      <c r="C865" s="110"/>
      <c r="D865" s="110"/>
      <c r="E865" s="110"/>
      <c r="F865" s="110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" x14ac:dyDescent="0.3">
      <c r="A866" s="1"/>
      <c r="B866" s="110"/>
      <c r="C866" s="110"/>
      <c r="D866" s="110"/>
      <c r="E866" s="110"/>
      <c r="F866" s="110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" x14ac:dyDescent="0.3">
      <c r="A867" s="1"/>
      <c r="B867" s="110"/>
      <c r="C867" s="110"/>
      <c r="D867" s="110"/>
      <c r="E867" s="110"/>
      <c r="F867" s="110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" x14ac:dyDescent="0.3">
      <c r="A868" s="1"/>
      <c r="B868" s="110"/>
      <c r="C868" s="110"/>
      <c r="D868" s="110"/>
      <c r="E868" s="110"/>
      <c r="F868" s="110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" x14ac:dyDescent="0.3">
      <c r="A869" s="1"/>
      <c r="B869" s="110"/>
      <c r="C869" s="110"/>
      <c r="D869" s="110"/>
      <c r="E869" s="110"/>
      <c r="F869" s="110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" x14ac:dyDescent="0.3">
      <c r="A870" s="1"/>
      <c r="B870" s="110"/>
      <c r="C870" s="110"/>
      <c r="D870" s="110"/>
      <c r="E870" s="110"/>
      <c r="F870" s="110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" x14ac:dyDescent="0.3">
      <c r="A871" s="1"/>
      <c r="B871" s="110"/>
      <c r="C871" s="110"/>
      <c r="D871" s="110"/>
      <c r="E871" s="110"/>
      <c r="F871" s="110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" x14ac:dyDescent="0.3">
      <c r="A872" s="1"/>
      <c r="B872" s="110"/>
      <c r="C872" s="110"/>
      <c r="D872" s="110"/>
      <c r="E872" s="110"/>
      <c r="F872" s="110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" x14ac:dyDescent="0.3">
      <c r="A873" s="1"/>
      <c r="B873" s="110"/>
      <c r="C873" s="110"/>
      <c r="D873" s="110"/>
      <c r="E873" s="110"/>
      <c r="F873" s="110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" x14ac:dyDescent="0.3">
      <c r="A874" s="1"/>
      <c r="B874" s="110"/>
      <c r="C874" s="110"/>
      <c r="D874" s="110"/>
      <c r="E874" s="110"/>
      <c r="F874" s="110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" x14ac:dyDescent="0.3">
      <c r="A875" s="1"/>
      <c r="B875" s="110"/>
      <c r="C875" s="110"/>
      <c r="D875" s="110"/>
      <c r="E875" s="110"/>
      <c r="F875" s="110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" x14ac:dyDescent="0.3">
      <c r="A876" s="1"/>
      <c r="B876" s="110"/>
      <c r="C876" s="110"/>
      <c r="D876" s="110"/>
      <c r="E876" s="110"/>
      <c r="F876" s="110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" x14ac:dyDescent="0.3">
      <c r="A877" s="1"/>
      <c r="B877" s="110"/>
      <c r="C877" s="110"/>
      <c r="D877" s="110"/>
      <c r="E877" s="110"/>
      <c r="F877" s="110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" x14ac:dyDescent="0.3">
      <c r="A878" s="1"/>
      <c r="B878" s="110"/>
      <c r="C878" s="110"/>
      <c r="D878" s="110"/>
      <c r="E878" s="110"/>
      <c r="F878" s="110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" x14ac:dyDescent="0.3">
      <c r="A879" s="1"/>
      <c r="B879" s="110"/>
      <c r="C879" s="110"/>
      <c r="D879" s="110"/>
      <c r="E879" s="110"/>
      <c r="F879" s="110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" x14ac:dyDescent="0.3">
      <c r="A880" s="1"/>
      <c r="B880" s="110"/>
      <c r="C880" s="110"/>
      <c r="D880" s="110"/>
      <c r="E880" s="110"/>
      <c r="F880" s="110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" x14ac:dyDescent="0.3">
      <c r="A881" s="1"/>
      <c r="B881" s="110"/>
      <c r="C881" s="110"/>
      <c r="D881" s="110"/>
      <c r="E881" s="110"/>
      <c r="F881" s="110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" x14ac:dyDescent="0.3">
      <c r="A882" s="1"/>
      <c r="B882" s="110"/>
      <c r="C882" s="110"/>
      <c r="D882" s="110"/>
      <c r="E882" s="110"/>
      <c r="F882" s="110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" x14ac:dyDescent="0.3">
      <c r="A883" s="1"/>
      <c r="B883" s="110"/>
      <c r="C883" s="110"/>
      <c r="D883" s="110"/>
      <c r="E883" s="110"/>
      <c r="F883" s="110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" x14ac:dyDescent="0.3">
      <c r="A884" s="1"/>
      <c r="B884" s="110"/>
      <c r="C884" s="110"/>
      <c r="D884" s="110"/>
      <c r="E884" s="110"/>
      <c r="F884" s="110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" x14ac:dyDescent="0.3">
      <c r="A885" s="1"/>
      <c r="B885" s="110"/>
      <c r="C885" s="110"/>
      <c r="D885" s="110"/>
      <c r="E885" s="110"/>
      <c r="F885" s="110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" x14ac:dyDescent="0.3">
      <c r="A886" s="1"/>
      <c r="B886" s="110"/>
      <c r="C886" s="110"/>
      <c r="D886" s="110"/>
      <c r="E886" s="110"/>
      <c r="F886" s="110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" x14ac:dyDescent="0.3">
      <c r="A887" s="1"/>
      <c r="B887" s="110"/>
      <c r="C887" s="110"/>
      <c r="D887" s="110"/>
      <c r="E887" s="110"/>
      <c r="F887" s="110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" x14ac:dyDescent="0.3">
      <c r="A888" s="1"/>
      <c r="B888" s="110"/>
      <c r="C888" s="110"/>
      <c r="D888" s="110"/>
      <c r="E888" s="110"/>
      <c r="F888" s="110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" x14ac:dyDescent="0.3">
      <c r="A889" s="1"/>
      <c r="B889" s="110"/>
      <c r="C889" s="110"/>
      <c r="D889" s="110"/>
      <c r="E889" s="110"/>
      <c r="F889" s="110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" x14ac:dyDescent="0.3">
      <c r="A890" s="1"/>
      <c r="B890" s="110"/>
      <c r="C890" s="110"/>
      <c r="D890" s="110"/>
      <c r="E890" s="110"/>
      <c r="F890" s="11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" x14ac:dyDescent="0.3">
      <c r="A891" s="1"/>
      <c r="B891" s="110"/>
      <c r="C891" s="110"/>
      <c r="D891" s="110"/>
      <c r="E891" s="110"/>
      <c r="F891" s="110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" x14ac:dyDescent="0.3">
      <c r="A892" s="1"/>
      <c r="B892" s="110"/>
      <c r="C892" s="110"/>
      <c r="D892" s="110"/>
      <c r="E892" s="110"/>
      <c r="F892" s="110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" x14ac:dyDescent="0.3">
      <c r="A893" s="1"/>
      <c r="B893" s="110"/>
      <c r="C893" s="110"/>
      <c r="D893" s="110"/>
      <c r="E893" s="110"/>
      <c r="F893" s="110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" x14ac:dyDescent="0.3">
      <c r="A894" s="1"/>
      <c r="B894" s="110"/>
      <c r="C894" s="110"/>
      <c r="D894" s="110"/>
      <c r="E894" s="110"/>
      <c r="F894" s="110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" x14ac:dyDescent="0.3">
      <c r="A895" s="1"/>
      <c r="B895" s="110"/>
      <c r="C895" s="110"/>
      <c r="D895" s="110"/>
      <c r="E895" s="110"/>
      <c r="F895" s="110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" x14ac:dyDescent="0.3">
      <c r="A896" s="1"/>
      <c r="B896" s="110"/>
      <c r="C896" s="110"/>
      <c r="D896" s="110"/>
      <c r="E896" s="110"/>
      <c r="F896" s="110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" x14ac:dyDescent="0.3">
      <c r="A897" s="1"/>
      <c r="B897" s="110"/>
      <c r="C897" s="110"/>
      <c r="D897" s="110"/>
      <c r="E897" s="110"/>
      <c r="F897" s="110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" x14ac:dyDescent="0.3">
      <c r="A898" s="1"/>
      <c r="B898" s="110"/>
      <c r="C898" s="110"/>
      <c r="D898" s="110"/>
      <c r="E898" s="110"/>
      <c r="F898" s="110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" x14ac:dyDescent="0.3">
      <c r="A899" s="1"/>
      <c r="B899" s="110"/>
      <c r="C899" s="110"/>
      <c r="D899" s="110"/>
      <c r="E899" s="110"/>
      <c r="F899" s="110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" x14ac:dyDescent="0.3">
      <c r="A900" s="1"/>
      <c r="B900" s="110"/>
      <c r="C900" s="110"/>
      <c r="D900" s="110"/>
      <c r="E900" s="110"/>
      <c r="F900" s="110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" x14ac:dyDescent="0.3">
      <c r="A901" s="1"/>
      <c r="B901" s="110"/>
      <c r="C901" s="110"/>
      <c r="D901" s="110"/>
      <c r="E901" s="110"/>
      <c r="F901" s="110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" x14ac:dyDescent="0.3">
      <c r="A902" s="1"/>
      <c r="B902" s="110"/>
      <c r="C902" s="110"/>
      <c r="D902" s="110"/>
      <c r="E902" s="110"/>
      <c r="F902" s="110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" x14ac:dyDescent="0.3">
      <c r="A903" s="1"/>
      <c r="B903" s="110"/>
      <c r="C903" s="110"/>
      <c r="D903" s="110"/>
      <c r="E903" s="110"/>
      <c r="F903" s="110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" x14ac:dyDescent="0.3">
      <c r="A904" s="1"/>
      <c r="B904" s="110"/>
      <c r="C904" s="110"/>
      <c r="D904" s="110"/>
      <c r="E904" s="110"/>
      <c r="F904" s="110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" x14ac:dyDescent="0.3">
      <c r="A905" s="1"/>
      <c r="B905" s="110"/>
      <c r="C905" s="110"/>
      <c r="D905" s="110"/>
      <c r="E905" s="110"/>
      <c r="F905" s="110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" x14ac:dyDescent="0.3">
      <c r="A906" s="1"/>
      <c r="B906" s="110"/>
      <c r="C906" s="110"/>
      <c r="D906" s="110"/>
      <c r="E906" s="110"/>
      <c r="F906" s="110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" x14ac:dyDescent="0.3">
      <c r="A907" s="1"/>
      <c r="B907" s="110"/>
      <c r="C907" s="110"/>
      <c r="D907" s="110"/>
      <c r="E907" s="110"/>
      <c r="F907" s="110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" x14ac:dyDescent="0.3">
      <c r="A908" s="1"/>
      <c r="B908" s="110"/>
      <c r="C908" s="110"/>
      <c r="D908" s="110"/>
      <c r="E908" s="110"/>
      <c r="F908" s="110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" x14ac:dyDescent="0.3">
      <c r="A909" s="1"/>
      <c r="B909" s="110"/>
      <c r="C909" s="110"/>
      <c r="D909" s="110"/>
      <c r="E909" s="110"/>
      <c r="F909" s="110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" x14ac:dyDescent="0.3">
      <c r="A910" s="1"/>
      <c r="B910" s="110"/>
      <c r="C910" s="110"/>
      <c r="D910" s="110"/>
      <c r="E910" s="110"/>
      <c r="F910" s="110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" x14ac:dyDescent="0.3">
      <c r="A911" s="1"/>
      <c r="B911" s="110"/>
      <c r="C911" s="110"/>
      <c r="D911" s="110"/>
      <c r="E911" s="110"/>
      <c r="F911" s="110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" x14ac:dyDescent="0.3">
      <c r="A912" s="1"/>
      <c r="B912" s="110"/>
      <c r="C912" s="110"/>
      <c r="D912" s="110"/>
      <c r="E912" s="110"/>
      <c r="F912" s="110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" x14ac:dyDescent="0.3">
      <c r="A913" s="1"/>
      <c r="B913" s="110"/>
      <c r="C913" s="110"/>
      <c r="D913" s="110"/>
      <c r="E913" s="110"/>
      <c r="F913" s="110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" x14ac:dyDescent="0.3">
      <c r="A914" s="1"/>
      <c r="B914" s="110"/>
      <c r="C914" s="110"/>
      <c r="D914" s="110"/>
      <c r="E914" s="110"/>
      <c r="F914" s="110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" x14ac:dyDescent="0.3">
      <c r="A915" s="1"/>
      <c r="B915" s="110"/>
      <c r="C915" s="110"/>
      <c r="D915" s="110"/>
      <c r="E915" s="110"/>
      <c r="F915" s="110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" x14ac:dyDescent="0.3">
      <c r="A916" s="1"/>
      <c r="B916" s="110"/>
      <c r="C916" s="110"/>
      <c r="D916" s="110"/>
      <c r="E916" s="110"/>
      <c r="F916" s="110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" x14ac:dyDescent="0.3">
      <c r="A917" s="1"/>
      <c r="B917" s="110"/>
      <c r="C917" s="110"/>
      <c r="D917" s="110"/>
      <c r="E917" s="110"/>
      <c r="F917" s="110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" x14ac:dyDescent="0.3">
      <c r="A918" s="1"/>
      <c r="B918" s="110"/>
      <c r="C918" s="110"/>
      <c r="D918" s="110"/>
      <c r="E918" s="110"/>
      <c r="F918" s="110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" x14ac:dyDescent="0.3">
      <c r="A919" s="1"/>
      <c r="B919" s="110"/>
      <c r="C919" s="110"/>
      <c r="D919" s="110"/>
      <c r="E919" s="110"/>
      <c r="F919" s="110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" x14ac:dyDescent="0.3">
      <c r="A920" s="1"/>
      <c r="B920" s="110"/>
      <c r="C920" s="110"/>
      <c r="D920" s="110"/>
      <c r="E920" s="110"/>
      <c r="F920" s="110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" x14ac:dyDescent="0.3">
      <c r="A921" s="1"/>
      <c r="B921" s="110"/>
      <c r="C921" s="110"/>
      <c r="D921" s="110"/>
      <c r="E921" s="110"/>
      <c r="F921" s="110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" x14ac:dyDescent="0.3">
      <c r="A922" s="1"/>
      <c r="B922" s="110"/>
      <c r="C922" s="110"/>
      <c r="D922" s="110"/>
      <c r="E922" s="110"/>
      <c r="F922" s="110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" x14ac:dyDescent="0.3">
      <c r="A923" s="1"/>
      <c r="B923" s="110"/>
      <c r="C923" s="110"/>
      <c r="D923" s="110"/>
      <c r="E923" s="110"/>
      <c r="F923" s="110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" x14ac:dyDescent="0.3">
      <c r="A924" s="1"/>
      <c r="B924" s="110"/>
      <c r="C924" s="110"/>
      <c r="D924" s="110"/>
      <c r="E924" s="110"/>
      <c r="F924" s="110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" x14ac:dyDescent="0.3">
      <c r="A925" s="1"/>
      <c r="B925" s="110"/>
      <c r="C925" s="110"/>
      <c r="D925" s="110"/>
      <c r="E925" s="110"/>
      <c r="F925" s="110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" x14ac:dyDescent="0.3">
      <c r="A926" s="1"/>
      <c r="B926" s="110"/>
      <c r="C926" s="110"/>
      <c r="D926" s="110"/>
      <c r="E926" s="110"/>
      <c r="F926" s="110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" x14ac:dyDescent="0.3">
      <c r="A927" s="1"/>
      <c r="B927" s="110"/>
      <c r="C927" s="110"/>
      <c r="D927" s="110"/>
      <c r="E927" s="110"/>
      <c r="F927" s="110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" x14ac:dyDescent="0.3">
      <c r="A928" s="1"/>
      <c r="B928" s="110"/>
      <c r="C928" s="110"/>
      <c r="D928" s="110"/>
      <c r="E928" s="110"/>
      <c r="F928" s="110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" x14ac:dyDescent="0.3">
      <c r="A929" s="1"/>
      <c r="B929" s="110"/>
      <c r="C929" s="110"/>
      <c r="D929" s="110"/>
      <c r="E929" s="110"/>
      <c r="F929" s="110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" x14ac:dyDescent="0.3">
      <c r="A930" s="1"/>
      <c r="B930" s="110"/>
      <c r="C930" s="110"/>
      <c r="D930" s="110"/>
      <c r="E930" s="110"/>
      <c r="F930" s="110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" x14ac:dyDescent="0.3">
      <c r="A931" s="1"/>
      <c r="B931" s="110"/>
      <c r="C931" s="110"/>
      <c r="D931" s="110"/>
      <c r="E931" s="110"/>
      <c r="F931" s="110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" x14ac:dyDescent="0.3">
      <c r="A932" s="1"/>
      <c r="B932" s="110"/>
      <c r="C932" s="110"/>
      <c r="D932" s="110"/>
      <c r="E932" s="110"/>
      <c r="F932" s="110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" x14ac:dyDescent="0.3">
      <c r="A933" s="1"/>
      <c r="B933" s="110"/>
      <c r="C933" s="110"/>
      <c r="D933" s="110"/>
      <c r="E933" s="110"/>
      <c r="F933" s="110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" x14ac:dyDescent="0.3">
      <c r="A934" s="1"/>
      <c r="B934" s="110"/>
      <c r="C934" s="110"/>
      <c r="D934" s="110"/>
      <c r="E934" s="110"/>
      <c r="F934" s="110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" x14ac:dyDescent="0.3">
      <c r="A935" s="1"/>
      <c r="B935" s="110"/>
      <c r="C935" s="110"/>
      <c r="D935" s="110"/>
      <c r="E935" s="110"/>
      <c r="F935" s="110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" x14ac:dyDescent="0.3">
      <c r="A936" s="1"/>
      <c r="B936" s="110"/>
      <c r="C936" s="110"/>
      <c r="D936" s="110"/>
      <c r="E936" s="110"/>
      <c r="F936" s="110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" x14ac:dyDescent="0.3">
      <c r="A937" s="1"/>
      <c r="B937" s="110"/>
      <c r="C937" s="110"/>
      <c r="D937" s="110"/>
      <c r="E937" s="110"/>
      <c r="F937" s="110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" x14ac:dyDescent="0.3">
      <c r="A938" s="1"/>
      <c r="B938" s="110"/>
      <c r="C938" s="110"/>
      <c r="D938" s="110"/>
      <c r="E938" s="110"/>
      <c r="F938" s="110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" x14ac:dyDescent="0.3">
      <c r="A939" s="1"/>
      <c r="B939" s="110"/>
      <c r="C939" s="110"/>
      <c r="D939" s="110"/>
      <c r="E939" s="110"/>
      <c r="F939" s="110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" x14ac:dyDescent="0.3">
      <c r="A940" s="1"/>
      <c r="B940" s="110"/>
      <c r="C940" s="110"/>
      <c r="D940" s="110"/>
      <c r="E940" s="110"/>
      <c r="F940" s="110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" x14ac:dyDescent="0.3">
      <c r="A941" s="1"/>
      <c r="B941" s="110"/>
      <c r="C941" s="110"/>
      <c r="D941" s="110"/>
      <c r="E941" s="110"/>
      <c r="F941" s="110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" x14ac:dyDescent="0.3">
      <c r="A942" s="1"/>
      <c r="B942" s="110"/>
      <c r="C942" s="110"/>
      <c r="D942" s="110"/>
      <c r="E942" s="110"/>
      <c r="F942" s="110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" x14ac:dyDescent="0.3">
      <c r="A943" s="1"/>
      <c r="B943" s="110"/>
      <c r="C943" s="110"/>
      <c r="D943" s="110"/>
      <c r="E943" s="110"/>
      <c r="F943" s="110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" x14ac:dyDescent="0.3">
      <c r="A944" s="1"/>
      <c r="B944" s="110"/>
      <c r="C944" s="110"/>
      <c r="D944" s="110"/>
      <c r="E944" s="110"/>
      <c r="F944" s="110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" x14ac:dyDescent="0.3">
      <c r="A945" s="1"/>
      <c r="B945" s="110"/>
      <c r="C945" s="110"/>
      <c r="D945" s="110"/>
      <c r="E945" s="110"/>
      <c r="F945" s="110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" x14ac:dyDescent="0.3">
      <c r="A946" s="1"/>
      <c r="B946" s="110"/>
      <c r="C946" s="110"/>
      <c r="D946" s="110"/>
      <c r="E946" s="110"/>
      <c r="F946" s="110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" x14ac:dyDescent="0.3">
      <c r="A947" s="1"/>
      <c r="B947" s="110"/>
      <c r="C947" s="110"/>
      <c r="D947" s="110"/>
      <c r="E947" s="110"/>
      <c r="F947" s="110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" x14ac:dyDescent="0.3">
      <c r="A948" s="1"/>
      <c r="B948" s="110"/>
      <c r="C948" s="110"/>
      <c r="D948" s="110"/>
      <c r="E948" s="110"/>
      <c r="F948" s="110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" x14ac:dyDescent="0.3">
      <c r="A949" s="1"/>
      <c r="B949" s="110"/>
      <c r="C949" s="110"/>
      <c r="D949" s="110"/>
      <c r="E949" s="110"/>
      <c r="F949" s="110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" x14ac:dyDescent="0.3">
      <c r="A950" s="1"/>
      <c r="B950" s="110"/>
      <c r="C950" s="110"/>
      <c r="D950" s="110"/>
      <c r="E950" s="110"/>
      <c r="F950" s="110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" x14ac:dyDescent="0.3">
      <c r="A951" s="1"/>
      <c r="B951" s="110"/>
      <c r="C951" s="110"/>
      <c r="D951" s="110"/>
      <c r="E951" s="110"/>
      <c r="F951" s="110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" x14ac:dyDescent="0.3">
      <c r="A952" s="1"/>
      <c r="B952" s="110"/>
      <c r="C952" s="110"/>
      <c r="D952" s="110"/>
      <c r="E952" s="110"/>
      <c r="F952" s="110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" x14ac:dyDescent="0.3">
      <c r="A953" s="1"/>
      <c r="B953" s="110"/>
      <c r="C953" s="110"/>
      <c r="D953" s="110"/>
      <c r="E953" s="110"/>
      <c r="F953" s="110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" x14ac:dyDescent="0.3">
      <c r="A954" s="1"/>
      <c r="B954" s="110"/>
      <c r="C954" s="110"/>
      <c r="D954" s="110"/>
      <c r="E954" s="110"/>
      <c r="F954" s="110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" x14ac:dyDescent="0.3">
      <c r="A955" s="1"/>
      <c r="B955" s="110"/>
      <c r="C955" s="110"/>
      <c r="D955" s="110"/>
      <c r="E955" s="110"/>
      <c r="F955" s="110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" x14ac:dyDescent="0.3">
      <c r="A956" s="1"/>
      <c r="B956" s="110"/>
      <c r="C956" s="110"/>
      <c r="D956" s="110"/>
      <c r="E956" s="110"/>
      <c r="F956" s="110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" x14ac:dyDescent="0.3">
      <c r="A957" s="1"/>
      <c r="B957" s="110"/>
      <c r="C957" s="110"/>
      <c r="D957" s="110"/>
      <c r="E957" s="110"/>
      <c r="F957" s="110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" x14ac:dyDescent="0.3">
      <c r="A958" s="1"/>
      <c r="B958" s="110"/>
      <c r="C958" s="110"/>
      <c r="D958" s="110"/>
      <c r="E958" s="110"/>
      <c r="F958" s="110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" x14ac:dyDescent="0.3">
      <c r="A959" s="1"/>
      <c r="B959" s="110"/>
      <c r="C959" s="110"/>
      <c r="D959" s="110"/>
      <c r="E959" s="110"/>
      <c r="F959" s="110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" x14ac:dyDescent="0.3">
      <c r="A960" s="1"/>
      <c r="B960" s="110"/>
      <c r="C960" s="110"/>
      <c r="D960" s="110"/>
      <c r="E960" s="110"/>
      <c r="F960" s="110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" x14ac:dyDescent="0.3">
      <c r="A961" s="1"/>
      <c r="B961" s="110"/>
      <c r="C961" s="110"/>
      <c r="D961" s="110"/>
      <c r="E961" s="110"/>
      <c r="F961" s="110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" x14ac:dyDescent="0.3">
      <c r="A962" s="1"/>
      <c r="B962" s="110"/>
      <c r="C962" s="110"/>
      <c r="D962" s="110"/>
      <c r="E962" s="110"/>
      <c r="F962" s="110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" x14ac:dyDescent="0.3">
      <c r="A963" s="1"/>
      <c r="B963" s="110"/>
      <c r="C963" s="110"/>
      <c r="D963" s="110"/>
      <c r="E963" s="110"/>
      <c r="F963" s="110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" x14ac:dyDescent="0.3">
      <c r="A964" s="1"/>
      <c r="B964" s="110"/>
      <c r="C964" s="110"/>
      <c r="D964" s="110"/>
      <c r="E964" s="110"/>
      <c r="F964" s="110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" x14ac:dyDescent="0.3">
      <c r="A965" s="1"/>
      <c r="B965" s="110"/>
      <c r="C965" s="110"/>
      <c r="D965" s="110"/>
      <c r="E965" s="110"/>
      <c r="F965" s="110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" x14ac:dyDescent="0.3">
      <c r="A966" s="1"/>
      <c r="B966" s="110"/>
      <c r="C966" s="110"/>
      <c r="D966" s="110"/>
      <c r="E966" s="110"/>
      <c r="F966" s="110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" x14ac:dyDescent="0.3">
      <c r="A967" s="1"/>
      <c r="B967" s="110"/>
      <c r="C967" s="110"/>
      <c r="D967" s="110"/>
      <c r="E967" s="110"/>
      <c r="F967" s="110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" x14ac:dyDescent="0.3">
      <c r="A968" s="1"/>
      <c r="B968" s="110"/>
      <c r="C968" s="110"/>
      <c r="D968" s="110"/>
      <c r="E968" s="110"/>
      <c r="F968" s="110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" x14ac:dyDescent="0.3">
      <c r="A969" s="1"/>
      <c r="B969" s="110"/>
      <c r="C969" s="110"/>
      <c r="D969" s="110"/>
      <c r="E969" s="110"/>
      <c r="F969" s="110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" x14ac:dyDescent="0.3">
      <c r="A970" s="1"/>
      <c r="B970" s="110"/>
      <c r="C970" s="110"/>
      <c r="D970" s="110"/>
      <c r="E970" s="110"/>
      <c r="F970" s="110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" x14ac:dyDescent="0.3">
      <c r="A971" s="1"/>
      <c r="B971" s="110"/>
      <c r="C971" s="110"/>
      <c r="D971" s="110"/>
      <c r="E971" s="110"/>
      <c r="F971" s="110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" x14ac:dyDescent="0.3">
      <c r="A972" s="1"/>
      <c r="B972" s="110"/>
      <c r="C972" s="110"/>
      <c r="D972" s="110"/>
      <c r="E972" s="110"/>
      <c r="F972" s="110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" x14ac:dyDescent="0.3">
      <c r="A973" s="1"/>
      <c r="B973" s="110"/>
      <c r="C973" s="110"/>
      <c r="D973" s="110"/>
      <c r="E973" s="110"/>
      <c r="F973" s="110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</sheetData>
  <mergeCells count="1">
    <mergeCell ref="I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2.5429687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Summary</vt:lpstr>
      <vt:lpstr>Assumptions</vt:lpstr>
      <vt:lpstr>FS</vt:lpstr>
      <vt:lpstr>Valuation</vt:lpstr>
      <vt:lpstr>Debt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Khalid</dc:creator>
  <cp:lastModifiedBy>Ahmed, Arsalan</cp:lastModifiedBy>
  <dcterms:created xsi:type="dcterms:W3CDTF">2023-05-09T12:21:25Z</dcterms:created>
  <dcterms:modified xsi:type="dcterms:W3CDTF">2025-03-25T00:50:33Z</dcterms:modified>
</cp:coreProperties>
</file>