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526A422C-0A5B-4747-8493-820042815B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G32" i="1"/>
  <c r="G31" i="1"/>
  <c r="G27" i="1"/>
  <c r="G26" i="1"/>
  <c r="G21" i="1"/>
  <c r="G20" i="1"/>
  <c r="G16" i="1"/>
  <c r="G15" i="1"/>
  <c r="G11" i="1"/>
  <c r="G9" i="1"/>
  <c r="G7" i="1"/>
  <c r="G6" i="1"/>
  <c r="G5" i="1"/>
  <c r="G4" i="1"/>
  <c r="F34" i="1"/>
  <c r="F33" i="1"/>
  <c r="F32" i="1"/>
  <c r="F31" i="1"/>
  <c r="F29" i="1"/>
  <c r="F28" i="1"/>
  <c r="F27" i="1"/>
  <c r="F26" i="1"/>
  <c r="F23" i="1"/>
  <c r="F22" i="1"/>
  <c r="F21" i="1"/>
  <c r="F20" i="1"/>
  <c r="F18" i="1"/>
  <c r="F17" i="1"/>
  <c r="F16" i="1"/>
  <c r="F15" i="1"/>
  <c r="F11" i="1"/>
  <c r="F9" i="1"/>
  <c r="F7" i="1"/>
  <c r="F6" i="1"/>
  <c r="F5" i="1"/>
  <c r="F4" i="1"/>
  <c r="E34" i="1"/>
  <c r="E33" i="1"/>
  <c r="E32" i="1"/>
  <c r="E31" i="1"/>
  <c r="E29" i="1"/>
  <c r="E28" i="1"/>
  <c r="E27" i="1"/>
  <c r="E26" i="1"/>
  <c r="E23" i="1"/>
  <c r="E22" i="1"/>
  <c r="E21" i="1"/>
  <c r="E20" i="1"/>
  <c r="E18" i="1"/>
  <c r="E17" i="1"/>
  <c r="E16" i="1"/>
  <c r="E15" i="1"/>
  <c r="E11" i="1"/>
  <c r="E9" i="1"/>
  <c r="E7" i="1"/>
  <c r="E5" i="1"/>
  <c r="E4" i="1"/>
  <c r="F68" i="1"/>
  <c r="F67" i="1"/>
  <c r="D66" i="1"/>
  <c r="D65" i="1"/>
  <c r="D63" i="1"/>
  <c r="D62" i="1"/>
  <c r="D59" i="1"/>
  <c r="D58" i="1"/>
  <c r="D56" i="1"/>
  <c r="D55" i="1"/>
  <c r="D52" i="1"/>
  <c r="D51" i="1"/>
  <c r="D49" i="1"/>
  <c r="D48" i="1"/>
  <c r="D45" i="1"/>
  <c r="D44" i="1"/>
  <c r="D42" i="1"/>
  <c r="D41" i="1"/>
</calcChain>
</file>

<file path=xl/sharedStrings.xml><?xml version="1.0" encoding="utf-8"?>
<sst xmlns="http://schemas.openxmlformats.org/spreadsheetml/2006/main" count="139" uniqueCount="23">
  <si>
    <t>Validation accuracy scores</t>
  </si>
  <si>
    <t>model/dataset</t>
  </si>
  <si>
    <t>model variant</t>
  </si>
  <si>
    <t>data augmented</t>
  </si>
  <si>
    <t>embedding augmented</t>
  </si>
  <si>
    <t>small (%)</t>
  </si>
  <si>
    <t>medium (%)</t>
  </si>
  <si>
    <t>large (%)</t>
  </si>
  <si>
    <t>LSTM Embed</t>
  </si>
  <si>
    <t>no</t>
  </si>
  <si>
    <t>yes</t>
  </si>
  <si>
    <t>LST Vanilla</t>
  </si>
  <si>
    <t>Hidden Forest Embed</t>
  </si>
  <si>
    <t>no shuffle</t>
  </si>
  <si>
    <t>shuffle</t>
  </si>
  <si>
    <t>Hidden Forest Vanilla</t>
  </si>
  <si>
    <t>Pretraining</t>
  </si>
  <si>
    <t>overlap window slide</t>
  </si>
  <si>
    <t>N/A</t>
  </si>
  <si>
    <t>full window slide</t>
  </si>
  <si>
    <t>LSTM Vanilla</t>
  </si>
  <si>
    <t>Embedding</t>
  </si>
  <si>
    <t>Embedding 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</si>
</sst>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1" fillId="2" borderId="1" xfId="1" applyBorder="1"/>
    <xf numFmtId="0" fontId="0" fillId="0" borderId="1" xfId="0" applyBorder="1"/>
    <xf numFmtId="0" fontId="1" fillId="3" borderId="0" xfId="2"/>
    <xf numFmtId="0" fontId="1" fillId="3" borderId="1" xfId="2" applyBorder="1"/>
    <xf numFmtId="0" fontId="1" fillId="5" borderId="1" xfId="4" applyBorder="1"/>
    <xf numFmtId="0" fontId="1" fillId="4" borderId="1" xfId="3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0" fillId="0" borderId="0" xfId="0" applyFont="1"/>
    <xf numFmtId="0" fontId="3" fillId="6" borderId="0" xfId="5" applyFont="1"/>
    <xf numFmtId="0" fontId="3" fillId="7" borderId="0" xfId="6" applyFont="1"/>
  </cellXfs>
  <cellStyles count="7">
    <cellStyle name="20 % - Accent1" xfId="3" builtinId="30"/>
    <cellStyle name="20 % - Accent2" xfId="4" builtinId="34"/>
    <cellStyle name="20 % - Accent4" xfId="2" builtinId="42"/>
    <cellStyle name="40 % - Accent5" xfId="5" builtinId="47"/>
    <cellStyle name="60 % - Accent3" xfId="1" builtinId="40"/>
    <cellStyle name="60 % - Accent6" xfId="6" builtinId="52"/>
    <cellStyle name="Normal" xfId="0" builtinId="0"/>
  </cellStyles>
  <dxfs count="3">
    <dxf>
      <border>
        <left/>
        <right style="thin">
          <color indexed="64"/>
        </right>
        <top/>
        <bottom/>
        <vertical/>
        <horizontal/>
      </border>
    </dxf>
    <dxf>
      <border>
        <left/>
        <right style="thin">
          <color indexed="64"/>
        </right>
        <top/>
        <bottom/>
        <vertical/>
        <horizontal/>
      </border>
    </dxf>
    <dxf>
      <border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3" displayName="Tableau3" ref="A2:G34" totalsRowShown="0">
  <autoFilter ref="A2:G34" xr:uid="{00000000-0009-0000-0100-000001000000}"/>
  <tableColumns count="7">
    <tableColumn id="1" xr3:uid="{00000000-0010-0000-0000-000001000000}" name="model/dataset"/>
    <tableColumn id="2" xr3:uid="{00000000-0010-0000-0000-000002000000}" name="model variant"/>
    <tableColumn id="8" xr3:uid="{00000000-0010-0000-0000-000008000000}" name="data augmented" dataDxfId="2"/>
    <tableColumn id="6" xr3:uid="{00000000-0010-0000-0000-000006000000}" name="embedding augmented" dataDxfId="1"/>
    <tableColumn id="3" xr3:uid="{00000000-0010-0000-0000-000003000000}" name="small (%)"/>
    <tableColumn id="4" xr3:uid="{00000000-0010-0000-0000-000004000000}" name="medium (%)"/>
    <tableColumn id="5" xr3:uid="{00000000-0010-0000-0000-000005000000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6" displayName="Tableau6" ref="A38:F66" totalsRowShown="0">
  <autoFilter ref="A38:F66" xr:uid="{00000000-0009-0000-0100-000002000000}"/>
  <tableColumns count="6">
    <tableColumn id="1" xr3:uid="{00000000-0010-0000-0100-000001000000}" name="model/dataset"/>
    <tableColumn id="2" xr3:uid="{00000000-0010-0000-0100-000002000000}" name="model variant"/>
    <tableColumn id="6" xr3:uid="{00000000-0010-0000-0100-000006000000}" name="data augmented" dataDxfId="0" dataCellStyle="60 % - Accent3"/>
    <tableColumn id="3" xr3:uid="{00000000-0010-0000-0100-000003000000}" name="small (%)"/>
    <tableColumn id="4" xr3:uid="{00000000-0010-0000-0100-000004000000}" name="medium (%)"/>
    <tableColumn id="5" xr3:uid="{00000000-0010-0000-0100-000005000000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J18" sqref="J18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4" width="24.28515625" bestFit="1" customWidth="1"/>
    <col min="5" max="5" width="14.140625" bestFit="1" customWidth="1"/>
    <col min="6" max="6" width="11.140625" bestFit="1" customWidth="1"/>
  </cols>
  <sheetData>
    <row r="1" spans="1:7" ht="21" customHeight="1" x14ac:dyDescent="0.35">
      <c r="A1" s="8" t="s">
        <v>0</v>
      </c>
      <c r="B1" s="9"/>
      <c r="C1" s="9"/>
      <c r="D1" s="9"/>
      <c r="E1" s="9"/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 t="s">
        <v>8</v>
      </c>
      <c r="B3" s="1"/>
      <c r="C3" s="1"/>
      <c r="D3" s="1"/>
      <c r="E3" s="1"/>
      <c r="F3" s="1"/>
      <c r="G3" s="1"/>
    </row>
    <row r="4" spans="1:7" x14ac:dyDescent="0.25">
      <c r="C4" s="6" t="s">
        <v>9</v>
      </c>
      <c r="D4" s="6" t="s">
        <v>9</v>
      </c>
      <c r="E4">
        <f>(0.0565302144249512 + 0.0409356725146198 + 0.0253411306042884 + 0.0409356725146198 + 0.0409356725146198) / 5 * 100</f>
        <v>4.0935672514619794</v>
      </c>
      <c r="F4">
        <f>(0.0918043431209869 + 0.0933554577591804 + 0.0890267657456172) / 3 * 100</f>
        <v>9.1395522208594837</v>
      </c>
      <c r="G4">
        <f>(0.126487598267627) / 1 * 100</f>
        <v>12.648759826762701</v>
      </c>
    </row>
    <row r="5" spans="1:7" x14ac:dyDescent="0.25">
      <c r="C5" s="6" t="s">
        <v>9</v>
      </c>
      <c r="D5" s="7" t="s">
        <v>10</v>
      </c>
      <c r="E5">
        <f>(0.0526315789473684 + 0.0389863547758284 + 0.0487329434697855 + 0.0721247563352826 + 0.0487329434697855) / 5 * 100</f>
        <v>5.2241715399610076</v>
      </c>
      <c r="F5">
        <f>(0.0923454296226823 + 0.0915879085203087 + 0.0925257917899141) / 3 * 100</f>
        <v>9.2153043310968368</v>
      </c>
      <c r="G5">
        <f>(0.171281203119119) / 1 * 100</f>
        <v>17.1281203119119</v>
      </c>
    </row>
    <row r="6" spans="1:7" x14ac:dyDescent="0.25">
      <c r="C6" s="7" t="s">
        <v>10</v>
      </c>
      <c r="D6" s="6" t="s">
        <v>9</v>
      </c>
      <c r="E6" s="11">
        <f>(0.0526315789473684 + 0.0389863547758284 + 0.0487329434697855 + 0.0721247563352826 + 0.0487329434697855) / 5 * 100</f>
        <v>5.2241715399610076</v>
      </c>
      <c r="F6">
        <f>(0.117907980722958 + 0.119958433008097 + 0.119170334000544) / 3 * 100</f>
        <v>11.901224924386632</v>
      </c>
      <c r="G6">
        <f>(0.20305824376756) / 1 * 100</f>
        <v>20.305824376756</v>
      </c>
    </row>
    <row r="7" spans="1:7" x14ac:dyDescent="0.25">
      <c r="C7" s="7" t="s">
        <v>10</v>
      </c>
      <c r="D7" s="7" t="s">
        <v>10</v>
      </c>
      <c r="E7" s="10">
        <f>(0.0862385321100917 + 0.0868501529051987 + 0.0743119266055045 + 0.0938837920489296 + 0.0819571865443425) / 5 * 100</f>
        <v>8.4648318042813404</v>
      </c>
      <c r="F7" s="12">
        <f>(0.122622626113277 + 0.122992265470801 + 0.123013188453303) / 3 * 100</f>
        <v>12.287602667912701</v>
      </c>
      <c r="G7" s="12">
        <f>(0.207610489229808) / 1 * 100</f>
        <v>20.761048922980798</v>
      </c>
    </row>
    <row r="8" spans="1:7" x14ac:dyDescent="0.25">
      <c r="A8" s="1" t="s">
        <v>11</v>
      </c>
      <c r="B8" s="1"/>
      <c r="C8" s="1"/>
      <c r="D8" s="1"/>
      <c r="E8" s="1"/>
      <c r="F8" s="1"/>
      <c r="G8" s="1"/>
    </row>
    <row r="9" spans="1:7" x14ac:dyDescent="0.25">
      <c r="C9" s="6" t="s">
        <v>9</v>
      </c>
      <c r="D9" s="6" t="s">
        <v>9</v>
      </c>
      <c r="E9">
        <f>(0.0487329434697855 + 0.037037037037037 + 0.0272904483430799 + 0.0467836257309941 + 0.0272904483430799) / 5 * 100</f>
        <v>3.7426900584795275</v>
      </c>
      <c r="F9">
        <f>(0.0926340090902532 + 0.0926340090902532 + 0.0947262102301421) / 3 * 100</f>
        <v>9.3331409470216169</v>
      </c>
      <c r="G9">
        <f>(0.157731800278833) / 1 * 100</f>
        <v>15.773180027883299</v>
      </c>
    </row>
    <row r="10" spans="1:7" x14ac:dyDescent="0.25">
      <c r="C10" s="6" t="s">
        <v>9</v>
      </c>
      <c r="D10" s="7" t="s">
        <v>10</v>
      </c>
    </row>
    <row r="11" spans="1:7" x14ac:dyDescent="0.25">
      <c r="C11" s="7" t="s">
        <v>10</v>
      </c>
      <c r="D11" s="6" t="s">
        <v>9</v>
      </c>
      <c r="E11" s="12">
        <f>(0.0892966360856269 + 0.0993883792048929 + 0.0892966360856269 + 0.0954128440366972 + 0.0972477064220183) / 5 * 100</f>
        <v>9.4128440366972441</v>
      </c>
      <c r="F11" s="10">
        <f>(0.0908615386761331 + 0.0919913797312094 + 0.118549618853002) / 3 * 100</f>
        <v>10.046751242011483</v>
      </c>
      <c r="G11" s="10">
        <f>(0.168997234981938) / 1 * 100</f>
        <v>16.899723498193801</v>
      </c>
    </row>
    <row r="12" spans="1:7" x14ac:dyDescent="0.25">
      <c r="C12" s="7" t="s">
        <v>10</v>
      </c>
      <c r="D12" s="7" t="s">
        <v>10</v>
      </c>
    </row>
    <row r="13" spans="1:7" x14ac:dyDescent="0.25">
      <c r="A13" s="1" t="s">
        <v>12</v>
      </c>
      <c r="B13" s="1"/>
      <c r="C13" s="1"/>
      <c r="D13" s="1"/>
      <c r="E13" s="1"/>
      <c r="F13" s="1"/>
      <c r="G13" s="1"/>
    </row>
    <row r="14" spans="1:7" x14ac:dyDescent="0.25">
      <c r="A14" s="4" t="s">
        <v>13</v>
      </c>
      <c r="B14" s="4"/>
      <c r="C14" s="4"/>
      <c r="D14" s="4"/>
      <c r="E14" s="4"/>
      <c r="F14" s="4"/>
      <c r="G14" s="4"/>
    </row>
    <row r="15" spans="1:7" x14ac:dyDescent="0.25">
      <c r="C15" s="6" t="s">
        <v>9</v>
      </c>
      <c r="D15" s="6" t="s">
        <v>9</v>
      </c>
      <c r="E15">
        <f>(0.0778443113772455 + 0.092814371257485 + 0.0568862275449101 + 0.101796407185628 + 0.059880239520958) / 5 * 100</f>
        <v>7.7844311377245319</v>
      </c>
      <c r="F15">
        <f>(0.124246677123751 + 0.124246677123751 + 0.119871212746635) / 3 * 100</f>
        <v>12.278818899804566</v>
      </c>
      <c r="G15">
        <f>(0.153878194303726) / 1 * 100</f>
        <v>15.387819430372602</v>
      </c>
    </row>
    <row r="16" spans="1:7" x14ac:dyDescent="0.25">
      <c r="C16" s="6" t="s">
        <v>9</v>
      </c>
      <c r="D16" s="7" t="s">
        <v>10</v>
      </c>
      <c r="E16">
        <f>(0.0538922155688622 + 0.0658682634730539 + 0.0718562874251497 + 0.0688622754491018 + 0.0688622754491018) / 5 * 100</f>
        <v>6.5868263473053883</v>
      </c>
      <c r="F16">
        <f>(0.125072236440188 + 0.128126805911004 + 0.123751341533889) / 3 * 100</f>
        <v>12.565012796169366</v>
      </c>
      <c r="G16" s="10">
        <f>(0.154936395361927) / 1 * 100</f>
        <v>15.493639536192699</v>
      </c>
    </row>
    <row r="17" spans="1:7" x14ac:dyDescent="0.25">
      <c r="C17" s="7" t="s">
        <v>10</v>
      </c>
      <c r="D17" s="6" t="s">
        <v>9</v>
      </c>
      <c r="E17">
        <f>(0.226349390597794 + 0.225769007544979 + 0.227510156703424 + 0.235055136390017 + 0.224027858386535) / 5 * 100</f>
        <v>22.774230992454978</v>
      </c>
      <c r="F17">
        <f>(0.156932245036292 + 0.153825514728725 + 0.154616318807015) / 3 * 100</f>
        <v>15.512469285734397</v>
      </c>
    </row>
    <row r="18" spans="1:7" x14ac:dyDescent="0.25">
      <c r="C18" s="7" t="s">
        <v>10</v>
      </c>
      <c r="D18" s="7" t="s">
        <v>10</v>
      </c>
      <c r="E18" s="10">
        <f>(0.230412071967498 + 0.233894370284387 + 0.233313987231572 + 0.230992455020313 + 0.233313987231572) / 5 * 100</f>
        <v>23.238537434706839</v>
      </c>
      <c r="F18" s="10">
        <f>(0.15608495495241 + 0.155647188409071 + 0.159121077752986) / 3 * 100</f>
        <v>15.695107370482233</v>
      </c>
    </row>
    <row r="19" spans="1:7" x14ac:dyDescent="0.25">
      <c r="A19" s="4" t="s">
        <v>14</v>
      </c>
      <c r="B19" s="4"/>
      <c r="C19" s="4"/>
      <c r="D19" s="4"/>
      <c r="E19" s="4"/>
      <c r="F19" s="4"/>
      <c r="G19" s="4"/>
    </row>
    <row r="20" spans="1:7" x14ac:dyDescent="0.25">
      <c r="C20" s="6" t="s">
        <v>9</v>
      </c>
      <c r="D20" s="6" t="s">
        <v>9</v>
      </c>
      <c r="E20" s="13">
        <f>(0.490712074303405 + 0.5 + 0.5 + 0.484520123839009 + 0.517027863777089) / 5 * 100</f>
        <v>49.845201238390061</v>
      </c>
      <c r="F20" s="13">
        <f>(0.593144401379653 + 0.590619777406393 + 0.591153148668349) / 3 * 100</f>
        <v>59.163910915146502</v>
      </c>
      <c r="G20" s="13">
        <f>(0.512935858087819) / 1 * 100</f>
        <v>51.293585808781906</v>
      </c>
    </row>
    <row r="21" spans="1:7" x14ac:dyDescent="0.25">
      <c r="C21" s="6" t="s">
        <v>9</v>
      </c>
      <c r="D21" s="7" t="s">
        <v>10</v>
      </c>
      <c r="E21">
        <f>(0.447368421052631 + 0.487616099071207 + 0.509287925696594 + 0.489164086687306 + 0.487616099071207) / 5 * 100</f>
        <v>48.421052631578895</v>
      </c>
      <c r="F21">
        <f>(0.588841873199872 + 0.596024606194218 + 0.58869964086335) / 3 * 100</f>
        <v>59.118870675248004</v>
      </c>
      <c r="G21">
        <f>(0.511052264190664) / 1 * 100</f>
        <v>51.105226419066398</v>
      </c>
    </row>
    <row r="22" spans="1:7" x14ac:dyDescent="0.25">
      <c r="C22" s="7" t="s">
        <v>10</v>
      </c>
      <c r="D22" s="6" t="s">
        <v>9</v>
      </c>
      <c r="E22">
        <f>(0.44214108910891 + 0.425742574257425 + 0.442450495049504 + 0.433477722772277 + 0.428836633663366) / 5 * 100</f>
        <v>43.452970297029644</v>
      </c>
      <c r="F22">
        <f>(0.564810798125404 + 0.566368220058741 + 0.56618332065113) / 3 * 100</f>
        <v>56.578744627842504</v>
      </c>
    </row>
    <row r="23" spans="1:7" x14ac:dyDescent="0.25">
      <c r="C23" s="7" t="s">
        <v>10</v>
      </c>
      <c r="D23" s="7" t="s">
        <v>10</v>
      </c>
      <c r="E23">
        <f>(0.430383663366336 + 0.438118811881188 + 0.435643564356435 + 0.437809405940594 + 0.435024752475247) / 5 * 100</f>
        <v>43.539603960396001</v>
      </c>
      <c r="F23">
        <f>(0.565073924205465 + 0.568210102619171 + 0.566154874588421) / 3 * 100</f>
        <v>56.647963380435229</v>
      </c>
    </row>
    <row r="24" spans="1:7" x14ac:dyDescent="0.25">
      <c r="A24" s="1" t="s">
        <v>15</v>
      </c>
      <c r="B24" s="1"/>
      <c r="C24" s="1"/>
      <c r="D24" s="1"/>
      <c r="E24" s="1"/>
      <c r="F24" s="1"/>
      <c r="G24" s="1"/>
    </row>
    <row r="25" spans="1:7" x14ac:dyDescent="0.25">
      <c r="A25" s="4" t="s">
        <v>13</v>
      </c>
      <c r="B25" s="4"/>
      <c r="C25" s="4"/>
      <c r="D25" s="4"/>
      <c r="E25" s="4"/>
      <c r="F25" s="4"/>
      <c r="G25" s="4"/>
    </row>
    <row r="26" spans="1:7" x14ac:dyDescent="0.25">
      <c r="C26" s="6" t="s">
        <v>9</v>
      </c>
      <c r="D26" s="6" t="s">
        <v>9</v>
      </c>
      <c r="E26">
        <f>(0.0718562874251497 + 0.0718562874251497 + 0.0628742514970059 + 0.0538922155688622 + 0.0778443113772455) / 5 * 100</f>
        <v>6.7664670658682606</v>
      </c>
      <c r="F26">
        <f>(0.100800792536943 + 0.100305456947081 + 0.104268141665978) / 3 * 100</f>
        <v>10.179146371666732</v>
      </c>
      <c r="G26">
        <f>(0.130383879320049) / 1 * 100</f>
        <v>13.0383879320049</v>
      </c>
    </row>
    <row r="27" spans="1:7" x14ac:dyDescent="0.25">
      <c r="C27" s="6" t="s">
        <v>9</v>
      </c>
      <c r="D27" s="7" t="s">
        <v>10</v>
      </c>
      <c r="E27">
        <f>(0.0718562874251497 + 0.0628742514970059 + 0.059880239520958 + 0.0658682634730539 + 0.0718562874251497) / 5 * 100</f>
        <v>6.646706586826344</v>
      </c>
      <c r="F27">
        <f>(0.0984066705192768 + 0.102534467101461 + 0.103690250144472) / 3 * 100</f>
        <v>10.154379592173662</v>
      </c>
      <c r="G27" s="10">
        <f>(0.131419565462118) / 1 * 100</f>
        <v>13.1419565462118</v>
      </c>
    </row>
    <row r="28" spans="1:7" x14ac:dyDescent="0.25">
      <c r="C28" s="7" t="s">
        <v>10</v>
      </c>
      <c r="D28" s="6" t="s">
        <v>9</v>
      </c>
      <c r="E28">
        <f>(0.195008705745792 + 0.191526407428903 + 0.194428322692977 + 0.188044109112013 + 0.196749854904236) / 5 * 100</f>
        <v>19.315147997678423</v>
      </c>
      <c r="F28" s="10">
        <f>(0.128548027226254 + 0.12957889682831 + 0.128152625187109) / 3 * 100</f>
        <v>12.875984974722432</v>
      </c>
    </row>
    <row r="29" spans="1:7" x14ac:dyDescent="0.25">
      <c r="C29" s="7" t="s">
        <v>10</v>
      </c>
      <c r="D29" s="7" t="s">
        <v>10</v>
      </c>
      <c r="E29" s="10">
        <f>(0.190946024376088 + 0.20081253627394 + 0.196749854904236 + 0.190365641323273 + 0.194428322692977) / 5 * 100</f>
        <v>19.46604759141028</v>
      </c>
      <c r="F29">
        <f>(0.127404185613014 + 0.127841952156353 + 0.127630129635382) / 3 * 100</f>
        <v>12.762542246824967</v>
      </c>
    </row>
    <row r="30" spans="1:7" x14ac:dyDescent="0.25">
      <c r="A30" s="4" t="s">
        <v>14</v>
      </c>
      <c r="B30" s="4"/>
      <c r="C30" s="4"/>
      <c r="D30" s="4"/>
      <c r="E30" s="4"/>
      <c r="F30" s="4"/>
      <c r="G30" s="4"/>
    </row>
    <row r="31" spans="1:7" x14ac:dyDescent="0.25">
      <c r="C31" s="6" t="s">
        <v>9</v>
      </c>
      <c r="D31" s="6" t="s">
        <v>9</v>
      </c>
      <c r="E31" s="10">
        <f>(0.391640866873065 + 0.430340557275541 + 0.44891640866873 + 0.455108359133126 + 0.442724458204334) / 5 * 100</f>
        <v>43.374613003095916</v>
      </c>
      <c r="F31" s="10">
        <f>(0.54795007644988 + 0.553497137574227 + 0.550830281264445) / 3 * 100</f>
        <v>55.075916509618409</v>
      </c>
      <c r="G31" s="10">
        <f>(0.483374513866575) / 1 * 100</f>
        <v>48.337451386657499</v>
      </c>
    </row>
    <row r="32" spans="1:7" x14ac:dyDescent="0.25">
      <c r="C32" s="6" t="s">
        <v>9</v>
      </c>
      <c r="D32" s="7" t="s">
        <v>10</v>
      </c>
      <c r="E32">
        <f>(0.410216718266253 + 0.436532507739938 + 0.473684210526315 + 0.405572755417956 + 0.434984520123839) / 5 * 100</f>
        <v>43.219814241486027</v>
      </c>
      <c r="F32">
        <f>(0.546492195000533 + 0.549336841730967 + 0.552643743555097) / 3 * 100</f>
        <v>54.949092676219905</v>
      </c>
      <c r="G32">
        <f>(0.482920235338437) / 1 * 100</f>
        <v>48.292023533843697</v>
      </c>
    </row>
    <row r="33" spans="1:6" x14ac:dyDescent="0.25">
      <c r="C33" s="7" t="s">
        <v>10</v>
      </c>
      <c r="D33" s="6" t="s">
        <v>9</v>
      </c>
      <c r="E33">
        <f>(0.390470297029703 + 0.385829207920792 + 0.386138613861386 + 0.383972772277227 + 0.395420792079207) / 5 * 100</f>
        <v>38.836633663366307</v>
      </c>
      <c r="F33">
        <f>(0.526515286202948 + 0.524929418206902 + 0.5256832388687) / 3 * 100</f>
        <v>52.570931442618338</v>
      </c>
    </row>
    <row r="34" spans="1:6" x14ac:dyDescent="0.25">
      <c r="C34" s="7" t="s">
        <v>10</v>
      </c>
      <c r="D34" s="7" t="s">
        <v>10</v>
      </c>
      <c r="E34">
        <f>(0.385519801980198 + 0.377165841584158 + 0.393254950495049 + 0.386757425742574 + 0.388304455445544) / 5 * 100</f>
        <v>38.620049504950451</v>
      </c>
      <c r="F34">
        <f>(0.525782800088182 + 0.528065596620607 + 0.527717132352418) / 3 * 100</f>
        <v>52.71885096870691</v>
      </c>
    </row>
    <row r="35" spans="1:6" ht="21" customHeight="1" x14ac:dyDescent="0.25"/>
    <row r="37" spans="1:6" ht="21" customHeight="1" x14ac:dyDescent="0.35">
      <c r="A37" s="8" t="s">
        <v>16</v>
      </c>
      <c r="B37" s="9"/>
      <c r="C37" s="9"/>
    </row>
    <row r="38" spans="1:6" x14ac:dyDescent="0.25">
      <c r="A38" t="s">
        <v>1</v>
      </c>
      <c r="B38" t="s">
        <v>2</v>
      </c>
      <c r="C38" t="s">
        <v>3</v>
      </c>
      <c r="D38" t="s">
        <v>5</v>
      </c>
      <c r="E38" t="s">
        <v>6</v>
      </c>
      <c r="F38" t="s">
        <v>7</v>
      </c>
    </row>
    <row r="39" spans="1:6" x14ac:dyDescent="0.25">
      <c r="A39" s="1" t="s">
        <v>8</v>
      </c>
      <c r="B39" s="1"/>
      <c r="C39" s="2"/>
      <c r="D39" s="1"/>
      <c r="E39" s="1"/>
      <c r="F39" s="1"/>
    </row>
    <row r="40" spans="1:6" x14ac:dyDescent="0.25">
      <c r="A40" s="4"/>
      <c r="B40" s="4" t="s">
        <v>17</v>
      </c>
      <c r="C40" s="5"/>
      <c r="D40" s="4"/>
      <c r="E40" s="4"/>
      <c r="F40" s="4"/>
    </row>
    <row r="41" spans="1:6" x14ac:dyDescent="0.25">
      <c r="C41" s="3" t="s">
        <v>9</v>
      </c>
      <c r="D41">
        <f>(0.0409356725146198 + 0.0487329434697855 + 0.0487329434697855 + 0.0526315789473684 + 0.0448343079922027) / 5 * 100</f>
        <v>4.7173489278752383</v>
      </c>
      <c r="E41" t="s">
        <v>18</v>
      </c>
      <c r="F41" t="s">
        <v>18</v>
      </c>
    </row>
    <row r="42" spans="1:6" x14ac:dyDescent="0.25">
      <c r="C42" s="3" t="s">
        <v>10</v>
      </c>
      <c r="D42">
        <f>(0.0892966360856269 + 0.0951070336391437 + 0.0938837920489296 + 0.0889908256880734 + 0.0954128440366972) / 5 * 100</f>
        <v>9.2538226299694166</v>
      </c>
      <c r="E42" t="s">
        <v>18</v>
      </c>
      <c r="F42" t="s">
        <v>18</v>
      </c>
    </row>
    <row r="43" spans="1:6" x14ac:dyDescent="0.25">
      <c r="A43" s="4"/>
      <c r="B43" s="4" t="s">
        <v>19</v>
      </c>
      <c r="C43" s="5"/>
      <c r="D43" s="4"/>
      <c r="E43" s="4"/>
      <c r="F43" s="4"/>
    </row>
    <row r="44" spans="1:6" x14ac:dyDescent="0.25">
      <c r="C44" s="3" t="s">
        <v>9</v>
      </c>
      <c r="D44">
        <f>(0.019047619047619 + 0.0380952380952381 + 0.0285714285714285 + 0.0285714285714285 + 0.019047619047619) / 5 * 100</f>
        <v>2.6666666666666625</v>
      </c>
      <c r="E44" t="s">
        <v>18</v>
      </c>
      <c r="F44" t="s">
        <v>18</v>
      </c>
    </row>
    <row r="45" spans="1:6" x14ac:dyDescent="0.25">
      <c r="C45" s="3" t="s">
        <v>10</v>
      </c>
      <c r="D45">
        <f>(0.0902255639097744 + 0.0796992481203007 + 0.0736842105263157 + 0.0721804511278195 + 0.069172932330827) / 5 * 100</f>
        <v>7.6992481203007461</v>
      </c>
      <c r="E45" t="s">
        <v>18</v>
      </c>
      <c r="F45" t="s">
        <v>18</v>
      </c>
    </row>
    <row r="46" spans="1:6" x14ac:dyDescent="0.25">
      <c r="A46" s="1" t="s">
        <v>20</v>
      </c>
      <c r="B46" s="1"/>
      <c r="C46" s="2"/>
      <c r="D46" s="1"/>
      <c r="E46" s="1"/>
      <c r="F46" s="1"/>
    </row>
    <row r="47" spans="1:6" x14ac:dyDescent="0.25">
      <c r="A47" s="4"/>
      <c r="B47" s="4" t="s">
        <v>17</v>
      </c>
      <c r="C47" s="5"/>
      <c r="D47" s="4"/>
      <c r="E47" s="4"/>
      <c r="F47" s="4"/>
    </row>
    <row r="48" spans="1:6" x14ac:dyDescent="0.25">
      <c r="C48" s="3" t="s">
        <v>9</v>
      </c>
      <c r="D48">
        <f>(0.0175438596491228 + 0.0584795321637426 + 0.0487329434697855 + 0.0253411306042884 + 0.0389863547758284) / 5 * 100</f>
        <v>3.781676413255354</v>
      </c>
      <c r="E48" t="s">
        <v>18</v>
      </c>
      <c r="F48" t="s">
        <v>18</v>
      </c>
    </row>
    <row r="49" spans="1:6" ht="15.75" customHeight="1" x14ac:dyDescent="0.25">
      <c r="C49" s="3" t="s">
        <v>10</v>
      </c>
      <c r="D49">
        <f>(0.091131498470948 + 0.0877675840978593 + 0.0856269113149847 + 0.0877675840978593 + 0.0963302752293578) / 5 * 100</f>
        <v>8.9724770642201808</v>
      </c>
      <c r="E49" t="s">
        <v>18</v>
      </c>
      <c r="F49" t="s">
        <v>18</v>
      </c>
    </row>
    <row r="50" spans="1:6" x14ac:dyDescent="0.25">
      <c r="A50" s="4"/>
      <c r="B50" s="4" t="s">
        <v>19</v>
      </c>
      <c r="C50" s="5"/>
      <c r="D50" s="4"/>
      <c r="E50" s="4"/>
      <c r="F50" s="4"/>
    </row>
    <row r="51" spans="1:6" x14ac:dyDescent="0.25">
      <c r="C51" s="3" t="s">
        <v>9</v>
      </c>
      <c r="D51">
        <f>(0.00952380952380952 + 0.0285714285714285 + 0.0380952380952381 + 0.0476190476190476 + 0.0571428571428571) / 5 * 100</f>
        <v>3.619047619047616</v>
      </c>
      <c r="E51" t="s">
        <v>18</v>
      </c>
      <c r="F51" t="s">
        <v>18</v>
      </c>
    </row>
    <row r="52" spans="1:6" x14ac:dyDescent="0.25">
      <c r="C52" s="3" t="s">
        <v>10</v>
      </c>
      <c r="D52">
        <f>(0.0796992481203007 + 0.0857142857142857 + 0.0827067669172932 + 0.0947368421052631 + 0.0887218045112782) / 5 * 100</f>
        <v>8.6315789473684177</v>
      </c>
      <c r="E52" t="s">
        <v>18</v>
      </c>
      <c r="F52" t="s">
        <v>18</v>
      </c>
    </row>
    <row r="53" spans="1:6" x14ac:dyDescent="0.25">
      <c r="A53" s="1" t="s">
        <v>12</v>
      </c>
      <c r="B53" s="1"/>
      <c r="C53" s="2"/>
      <c r="D53" s="1"/>
      <c r="E53" s="1"/>
      <c r="F53" s="1"/>
    </row>
    <row r="54" spans="1:6" x14ac:dyDescent="0.25">
      <c r="A54" s="4"/>
      <c r="B54" s="4" t="s">
        <v>17</v>
      </c>
      <c r="C54" s="5"/>
      <c r="D54" s="4"/>
      <c r="E54" s="4"/>
      <c r="F54" s="4"/>
    </row>
    <row r="55" spans="1:6" x14ac:dyDescent="0.25">
      <c r="C55" s="3" t="s">
        <v>9</v>
      </c>
      <c r="D55">
        <f>(0.490712074303405 + 0.467492260061919 + 0.530959752321981 + 0.507739938080495 + 0.5) / 5 * 100</f>
        <v>49.938080495356004</v>
      </c>
      <c r="E55" t="s">
        <v>18</v>
      </c>
      <c r="F55" t="s">
        <v>18</v>
      </c>
    </row>
    <row r="56" spans="1:6" ht="15.75" customHeight="1" x14ac:dyDescent="0.25">
      <c r="C56" s="3" t="s">
        <v>10</v>
      </c>
      <c r="D56">
        <f>(0.446163366336633 + 0.441212871287128 + 0.435024752475247 + 0.430074257425742 + 0.440903465346534) / 5 * 100</f>
        <v>43.86757425742568</v>
      </c>
      <c r="E56" t="s">
        <v>18</v>
      </c>
      <c r="F56" t="s">
        <v>18</v>
      </c>
    </row>
    <row r="57" spans="1:6" x14ac:dyDescent="0.25">
      <c r="A57" s="4"/>
      <c r="B57" s="4" t="s">
        <v>19</v>
      </c>
      <c r="C57" s="5"/>
      <c r="D57" s="4"/>
      <c r="E57" s="4"/>
      <c r="F57" s="4"/>
    </row>
    <row r="58" spans="1:6" x14ac:dyDescent="0.25">
      <c r="C58" s="3" t="s">
        <v>9</v>
      </c>
      <c r="D58">
        <f>(0.305343511450381 + 0.358778625954198 + 0.32824427480916 + 0.312977099236641 + 0.343511450381679) / 5 * 100</f>
        <v>32.97709923664118</v>
      </c>
      <c r="E58" t="s">
        <v>18</v>
      </c>
      <c r="F58" t="s">
        <v>18</v>
      </c>
    </row>
    <row r="59" spans="1:6" x14ac:dyDescent="0.25">
      <c r="C59" s="3" t="s">
        <v>10</v>
      </c>
      <c r="D59">
        <f>(0.278963414634146 + 0.234756097560975 + 0.28810975609756 + 0.268292682926829 + 0.283536585365853) / 5 * 100</f>
        <v>27.073170731707265</v>
      </c>
      <c r="E59" t="s">
        <v>18</v>
      </c>
      <c r="F59" t="s">
        <v>18</v>
      </c>
    </row>
    <row r="60" spans="1:6" x14ac:dyDescent="0.25">
      <c r="A60" s="1" t="s">
        <v>15</v>
      </c>
      <c r="B60" s="1"/>
      <c r="C60" s="2"/>
      <c r="D60" s="1"/>
      <c r="E60" s="1"/>
      <c r="F60" s="1"/>
    </row>
    <row r="61" spans="1:6" x14ac:dyDescent="0.25">
      <c r="A61" s="4"/>
      <c r="B61" s="4" t="s">
        <v>17</v>
      </c>
      <c r="C61" s="4"/>
      <c r="D61" s="4"/>
      <c r="E61" s="4"/>
      <c r="F61" s="4"/>
    </row>
    <row r="62" spans="1:6" x14ac:dyDescent="0.25">
      <c r="C62" t="s">
        <v>9</v>
      </c>
      <c r="D62">
        <f>(0.41640866873065 + 0.455108359133126 + 0.439628482972136 + 0.411764705882352 + 0.452012383900928) / 5 * 100</f>
        <v>43.498452012383844</v>
      </c>
      <c r="E62" t="s">
        <v>18</v>
      </c>
      <c r="F62" t="s">
        <v>18</v>
      </c>
    </row>
    <row r="63" spans="1:6" x14ac:dyDescent="0.25">
      <c r="C63" t="s">
        <v>10</v>
      </c>
      <c r="D63">
        <f>(0.398205445544554 + 0.394183168316831 + 0.392017326732673 + 0.395111386138613 + 0.39789603960396) / 5 * 100</f>
        <v>39.548267326732613</v>
      </c>
      <c r="E63" t="s">
        <v>18</v>
      </c>
      <c r="F63" t="s">
        <v>18</v>
      </c>
    </row>
    <row r="64" spans="1:6" x14ac:dyDescent="0.25">
      <c r="A64" s="4"/>
      <c r="B64" s="4" t="s">
        <v>19</v>
      </c>
      <c r="C64" s="4"/>
      <c r="D64" s="4"/>
      <c r="E64" s="4"/>
      <c r="F64" s="4"/>
    </row>
    <row r="65" spans="1:6" x14ac:dyDescent="0.25">
      <c r="C65" t="s">
        <v>9</v>
      </c>
      <c r="D65">
        <f>(0.229007633587786 + 0.206106870229007 + 0.221374045801526 + 0.305343511450381 + 0.297709923664122) / 5 * 100</f>
        <v>25.190839694656443</v>
      </c>
      <c r="E65" t="s">
        <v>18</v>
      </c>
      <c r="F65" t="s">
        <v>18</v>
      </c>
    </row>
    <row r="66" spans="1:6" x14ac:dyDescent="0.25">
      <c r="C66" t="s">
        <v>10</v>
      </c>
      <c r="D66">
        <f>(0.216463414634146 + 0.204268292682926 + 0.213414634146341 + 0.236280487804878 + 0.198170731707317) / 5 * 100</f>
        <v>21.371951219512159</v>
      </c>
      <c r="E66" t="s">
        <v>18</v>
      </c>
      <c r="F66" t="s">
        <v>18</v>
      </c>
    </row>
    <row r="67" spans="1:6" x14ac:dyDescent="0.25">
      <c r="A67" s="1" t="s">
        <v>21</v>
      </c>
      <c r="B67" s="1"/>
      <c r="C67" s="2" t="s">
        <v>9</v>
      </c>
      <c r="D67" s="1" t="s">
        <v>18</v>
      </c>
      <c r="E67" s="1" t="s">
        <v>18</v>
      </c>
      <c r="F67" s="1">
        <f>(0.0993930197268588) / 1 * 100</f>
        <v>9.9393019726858789</v>
      </c>
    </row>
    <row r="68" spans="1:6" x14ac:dyDescent="0.25">
      <c r="A68" s="1" t="s">
        <v>22</v>
      </c>
      <c r="B68" s="1"/>
      <c r="C68" s="2" t="s">
        <v>10</v>
      </c>
      <c r="D68" s="1" t="s">
        <v>18</v>
      </c>
      <c r="E68" s="1" t="s">
        <v>18</v>
      </c>
      <c r="F68" s="1">
        <f>(0.11067476294194) / 1 * 100</f>
        <v>11.067476294194</v>
      </c>
    </row>
  </sheetData>
  <mergeCells count="2">
    <mergeCell ref="A37:C37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2023-04-04T12:33:00Z</dcterms:modified>
</cp:coreProperties>
</file>