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rolling_sevens_maths" sheetId="2" r:id="rId1"/>
  </sheets>
  <definedNames>
    <definedName name="_xlcn.WorksheetConnection_Sheet1H1I34" hidden="1">#REF!</definedName>
  </definedNames>
  <calcPr calcId="144525"/>
  <oleSize ref="A1"/>
</workbook>
</file>

<file path=xl/sharedStrings.xml><?xml version="1.0" encoding="utf-8"?>
<sst xmlns="http://schemas.openxmlformats.org/spreadsheetml/2006/main" count="62">
  <si>
    <t>Symbol</t>
  </si>
  <si>
    <t>Reel 1</t>
  </si>
  <si>
    <t>Reel 2</t>
  </si>
  <si>
    <t>Reel 3</t>
  </si>
  <si>
    <t>Reel 4</t>
  </si>
  <si>
    <t>Reel 5</t>
  </si>
  <si>
    <t>Combination</t>
  </si>
  <si>
    <t>Hits</t>
  </si>
  <si>
    <t>Payment</t>
  </si>
  <si>
    <t>Probability</t>
  </si>
  <si>
    <t>P(Win-RTP)^2</t>
  </si>
  <si>
    <t>Total Payments</t>
  </si>
  <si>
    <t>2/5 sym_scatt</t>
  </si>
  <si>
    <t>symbol_01</t>
  </si>
  <si>
    <t>2 symbol_01</t>
  </si>
  <si>
    <t>sym_scatt</t>
  </si>
  <si>
    <t>x</t>
  </si>
  <si>
    <t>symbol_02</t>
  </si>
  <si>
    <t>3 symbol_01</t>
  </si>
  <si>
    <t>symbol_03</t>
  </si>
  <si>
    <t>4 symbol_01</t>
  </si>
  <si>
    <t>symbol_04</t>
  </si>
  <si>
    <t>5 symbol_01</t>
  </si>
  <si>
    <t>symbol_05</t>
  </si>
  <si>
    <t>2 symbol_02</t>
  </si>
  <si>
    <t>symbol_06</t>
  </si>
  <si>
    <t>3 symbol_02</t>
  </si>
  <si>
    <t>4 symbol_02</t>
  </si>
  <si>
    <t>Total</t>
  </si>
  <si>
    <t>5 symbol_02</t>
  </si>
  <si>
    <t>3 symbol_03</t>
  </si>
  <si>
    <t>4 symbol_03</t>
  </si>
  <si>
    <t>5 symbol_03</t>
  </si>
  <si>
    <t>3 symbol_04</t>
  </si>
  <si>
    <t>4 symbol_04</t>
  </si>
  <si>
    <t>3/5 sym_scatt</t>
  </si>
  <si>
    <t>5 symbol_04</t>
  </si>
  <si>
    <t>3 symbol_05</t>
  </si>
  <si>
    <t>4 symbol_05</t>
  </si>
  <si>
    <t>Summary</t>
  </si>
  <si>
    <t>5 symbol_05</t>
  </si>
  <si>
    <t>Statistic</t>
  </si>
  <si>
    <t>Data</t>
  </si>
  <si>
    <t>3 symbol_06</t>
  </si>
  <si>
    <t>RTP</t>
  </si>
  <si>
    <t>4 symbol_06</t>
  </si>
  <si>
    <t>Hitrate</t>
  </si>
  <si>
    <t>5 symbol_06</t>
  </si>
  <si>
    <t>Variance</t>
  </si>
  <si>
    <t>2 sym_scatt</t>
  </si>
  <si>
    <t>Standrard Deviation</t>
  </si>
  <si>
    <t>3 sym_scatt</t>
  </si>
  <si>
    <t>Volatility</t>
  </si>
  <si>
    <t>4 sym_scatt</t>
  </si>
  <si>
    <t>Cycle</t>
  </si>
  <si>
    <t>5 sym_scatt</t>
  </si>
  <si>
    <t>4/5 sym_scatt</t>
  </si>
  <si>
    <t>*The payments of sym_scatt is x10 (totalbet) because we have 10 paylines</t>
  </si>
  <si>
    <t>**Hitrate shows how many times you get paid e.g. 9 means that if you play 9 times, statistically, you get a payment</t>
  </si>
  <si>
    <t>***Volatility shows how hard is to get a payment</t>
  </si>
  <si>
    <t>5/5 sym_scatt</t>
  </si>
  <si>
    <t>****Use commas (,) to declare the decimals places</t>
  </si>
</sst>
</file>

<file path=xl/styles.xml><?xml version="1.0" encoding="utf-8"?>
<styleSheet xmlns="http://schemas.openxmlformats.org/spreadsheetml/2006/main">
  <numFmts count="9">
    <numFmt numFmtId="176" formatCode="_(* #,##0.0000000_);_(* \(#,##0.0000000\);_(* &quot;-&quot;??.000_);_(@_)"/>
    <numFmt numFmtId="177" formatCode="_(* #,##0_);_(* \(#,##0\);_(* &quot;-&quot;??_);_(@_)"/>
    <numFmt numFmtId="178" formatCode="#,000_);[Red]\(#,000\)"/>
    <numFmt numFmtId="179" formatCode="_(* #,##0.0000_);_(* \(#,##0.0000\);_(* &quot;-&quot;??_);_(@_)"/>
    <numFmt numFmtId="180" formatCode="_(&quot;$&quot;* #,##0.00_);_(&quot;$&quot;* \(#,##0.00\);_(&quot;$&quot;* &quot;-&quot;??_);_(@_)"/>
    <numFmt numFmtId="181" formatCode="_(* #,##0.00_);_(* \(#,##0.00\);_(* &quot;-&quot;??_);_(@_)"/>
    <numFmt numFmtId="182" formatCode="0.000"/>
    <numFmt numFmtId="183" formatCode="_(&quot;$&quot;* #,##0_);_(&quot;$&quot;* \(#,##0\);_(&quot;$&quot;* &quot;-&quot;_);_(@_)"/>
    <numFmt numFmtId="184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61"/>
    </font>
    <font>
      <sz val="10"/>
      <name val="Arial"/>
      <charset val="134"/>
    </font>
    <font>
      <b/>
      <i/>
      <sz val="10"/>
      <name val="Arial"/>
      <charset val="134"/>
    </font>
    <font>
      <b/>
      <sz val="10"/>
      <name val="Arial"/>
      <charset val="161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61"/>
      <scheme val="minor"/>
    </font>
    <font>
      <b/>
      <sz val="10"/>
      <color indexed="9"/>
      <name val="Arial"/>
      <charset val="16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0" borderId="0"/>
    <xf numFmtId="0" fontId="2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6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81" fontId="0" fillId="0" borderId="0" applyFont="0" applyFill="0" applyBorder="0" applyAlignment="0" applyProtection="0"/>
    <xf numFmtId="0" fontId="23" fillId="28" borderId="7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/>
    </xf>
    <xf numFmtId="178" fontId="0" fillId="0" borderId="0" xfId="0" applyNumberFormat="1"/>
    <xf numFmtId="179" fontId="0" fillId="0" borderId="0" xfId="0" applyNumberFormat="1"/>
    <xf numFmtId="0" fontId="1" fillId="2" borderId="0" xfId="1" applyFont="1" applyFill="1"/>
    <xf numFmtId="0" fontId="1" fillId="2" borderId="0" xfId="1" applyFont="1" applyFill="1" applyAlignment="1">
      <alignment horizontal="right" indent="1"/>
    </xf>
    <xf numFmtId="0" fontId="2" fillId="0" borderId="0" xfId="1" applyFont="1"/>
    <xf numFmtId="1" fontId="3" fillId="0" borderId="0" xfId="1" applyNumberFormat="1" applyAlignment="1">
      <alignment horizontal="right" indent="1"/>
    </xf>
    <xf numFmtId="0" fontId="3" fillId="0" borderId="0" xfId="1"/>
    <xf numFmtId="182" fontId="3" fillId="3" borderId="1" xfId="1" applyNumberFormat="1" applyFill="1" applyBorder="1"/>
    <xf numFmtId="1" fontId="3" fillId="3" borderId="1" xfId="1" applyNumberFormat="1" applyFill="1" applyBorder="1" applyAlignment="1">
      <alignment horizontal="right" indent="1"/>
    </xf>
    <xf numFmtId="0" fontId="4" fillId="0" borderId="0" xfId="1" applyFont="1"/>
    <xf numFmtId="177" fontId="5" fillId="0" borderId="0" xfId="46" applyNumberFormat="1" applyFont="1"/>
    <xf numFmtId="10" fontId="3" fillId="0" borderId="0" xfId="49" applyNumberFormat="1" applyFont="1" applyAlignment="1"/>
    <xf numFmtId="177" fontId="0" fillId="0" borderId="0" xfId="46" applyNumberFormat="1" applyFont="1"/>
    <xf numFmtId="179" fontId="0" fillId="0" borderId="0" xfId="46" applyNumberFormat="1" applyFont="1"/>
    <xf numFmtId="179" fontId="3" fillId="0" borderId="0" xfId="46" applyNumberFormat="1" applyFont="1" applyAlignment="1"/>
    <xf numFmtId="177" fontId="3" fillId="0" borderId="0" xfId="46" applyNumberFormat="1" applyFont="1"/>
    <xf numFmtId="177" fontId="6" fillId="0" borderId="0" xfId="46" applyNumberFormat="1" applyFont="1"/>
    <xf numFmtId="177" fontId="3" fillId="3" borderId="1" xfId="46" applyNumberFormat="1" applyFont="1" applyFill="1" applyBorder="1"/>
    <xf numFmtId="177" fontId="3" fillId="3" borderId="1" xfId="46" applyNumberFormat="1" applyFont="1" applyFill="1" applyBorder="1" applyAlignment="1"/>
    <xf numFmtId="0" fontId="6" fillId="4" borderId="0" xfId="0" applyFont="1" applyFill="1" applyAlignment="1">
      <alignment horizontal="left" vertical="center"/>
    </xf>
    <xf numFmtId="0" fontId="0" fillId="4" borderId="0" xfId="0" applyNumberFormat="1" applyFill="1"/>
    <xf numFmtId="0" fontId="0" fillId="4" borderId="0" xfId="0" applyFill="1"/>
    <xf numFmtId="179" fontId="0" fillId="4" borderId="0" xfId="0" applyNumberFormat="1" applyFill="1"/>
    <xf numFmtId="0" fontId="6" fillId="0" borderId="0" xfId="0" applyFont="1" applyFill="1" applyAlignment="1">
      <alignment horizontal="left" vertical="center"/>
    </xf>
    <xf numFmtId="0" fontId="0" fillId="0" borderId="0" xfId="0" applyNumberFormat="1" applyFill="1"/>
    <xf numFmtId="0" fontId="0" fillId="0" borderId="0" xfId="0" applyFill="1"/>
    <xf numFmtId="179" fontId="0" fillId="0" borderId="0" xfId="0" applyNumberFormat="1" applyFill="1"/>
    <xf numFmtId="0" fontId="6" fillId="4" borderId="0" xfId="0" applyFont="1" applyFill="1"/>
    <xf numFmtId="0" fontId="6" fillId="0" borderId="0" xfId="0" applyFont="1" applyFill="1"/>
    <xf numFmtId="177" fontId="1" fillId="2" borderId="0" xfId="1" applyNumberFormat="1" applyFont="1" applyFill="1" applyAlignment="1">
      <alignment horizontal="left" vertical="center"/>
    </xf>
    <xf numFmtId="177" fontId="7" fillId="0" borderId="0" xfId="46" applyNumberFormat="1" applyFont="1" applyAlignment="1">
      <alignment horizontal="left" vertical="center"/>
    </xf>
    <xf numFmtId="177" fontId="3" fillId="3" borderId="1" xfId="46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178" fontId="8" fillId="2" borderId="0" xfId="1" applyNumberFormat="1" applyFont="1" applyFill="1" applyAlignment="1">
      <alignment horizontal="center"/>
    </xf>
    <xf numFmtId="177" fontId="1" fillId="2" borderId="0" xfId="1" applyNumberFormat="1" applyFont="1" applyFill="1" applyAlignment="1">
      <alignment horizontal="center"/>
    </xf>
    <xf numFmtId="179" fontId="1" fillId="2" borderId="0" xfId="1" applyNumberFormat="1" applyFont="1" applyFill="1" applyAlignment="1">
      <alignment horizontal="center"/>
    </xf>
    <xf numFmtId="178" fontId="0" fillId="0" borderId="0" xfId="46" applyNumberFormat="1" applyFont="1"/>
    <xf numFmtId="176" fontId="0" fillId="0" borderId="0" xfId="46" applyNumberFormat="1" applyFont="1" applyAlignment="1">
      <alignment horizontal="right"/>
    </xf>
    <xf numFmtId="179" fontId="0" fillId="0" borderId="0" xfId="46" applyNumberFormat="1" applyFont="1" applyAlignment="1">
      <alignment horizontal="right"/>
    </xf>
    <xf numFmtId="177" fontId="7" fillId="0" borderId="0" xfId="46" applyNumberFormat="1" applyFont="1"/>
    <xf numFmtId="178" fontId="3" fillId="3" borderId="1" xfId="46" applyNumberFormat="1" applyFont="1" applyFill="1" applyBorder="1" applyAlignment="1">
      <alignment horizontal="right"/>
    </xf>
    <xf numFmtId="177" fontId="3" fillId="3" borderId="1" xfId="46" applyNumberFormat="1" applyFont="1" applyFill="1" applyBorder="1" applyAlignment="1">
      <alignment horizontal="right"/>
    </xf>
    <xf numFmtId="179" fontId="3" fillId="3" borderId="1" xfId="46" applyNumberFormat="1" applyFont="1" applyFill="1" applyBorder="1" applyAlignment="1">
      <alignment horizontal="center"/>
    </xf>
    <xf numFmtId="178" fontId="6" fillId="4" borderId="0" xfId="0" applyNumberFormat="1" applyFont="1" applyFill="1"/>
    <xf numFmtId="178" fontId="6" fillId="0" borderId="0" xfId="0" applyNumberFormat="1" applyFont="1" applyFill="1"/>
    <xf numFmtId="177" fontId="1" fillId="2" borderId="0" xfId="46" applyNumberFormat="1" applyFont="1" applyFill="1" applyAlignment="1">
      <alignment horizontal="center"/>
    </xf>
    <xf numFmtId="177" fontId="0" fillId="0" borderId="0" xfId="46" applyNumberFormat="1" applyFont="1" applyAlignment="1">
      <alignment horizontal="left"/>
    </xf>
    <xf numFmtId="177" fontId="0" fillId="0" borderId="0" xfId="46" applyNumberFormat="1" applyFont="1" applyFill="1"/>
    <xf numFmtId="177" fontId="0" fillId="3" borderId="1" xfId="46" applyNumberFormat="1" applyFont="1" applyFill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colors>
    <mruColors>
      <color rgb="00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8"/>
  <sheetViews>
    <sheetView tabSelected="1" zoomScale="85" zoomScaleNormal="85" workbookViewId="0">
      <selection activeCell="C51" sqref="C51"/>
    </sheetView>
  </sheetViews>
  <sheetFormatPr defaultColWidth="9" defaultRowHeight="14"/>
  <cols>
    <col min="1" max="1" width="17.5703125" customWidth="1"/>
    <col min="2" max="2" width="17" customWidth="1"/>
    <col min="8" max="8" width="14.5703125" style="2" customWidth="1"/>
    <col min="9" max="9" width="18.5703125" style="3" customWidth="1"/>
    <col min="10" max="10" width="11.5703125" customWidth="1"/>
    <col min="11" max="11" width="16.96875" style="4" customWidth="1"/>
    <col min="12" max="12" width="14.140625" style="4" customWidth="1"/>
    <col min="13" max="13" width="15.859375" customWidth="1"/>
    <col min="14" max="14" width="8.140625" customWidth="1"/>
    <col min="15" max="15" width="17.3046875" customWidth="1"/>
    <col min="16" max="16" width="18.140625" customWidth="1"/>
    <col min="17" max="17" width="15.6171875" customWidth="1"/>
    <col min="18" max="18" width="16.296875" customWidth="1"/>
    <col min="19" max="19" width="21.5078125" customWidth="1"/>
    <col min="20" max="20" width="13.2890625" customWidth="1"/>
  </cols>
  <sheetData>
    <row r="1" spans="1:2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32" t="s">
        <v>6</v>
      </c>
      <c r="I1" s="36" t="s">
        <v>7</v>
      </c>
      <c r="J1" s="37" t="s">
        <v>8</v>
      </c>
      <c r="K1" s="38" t="s">
        <v>9</v>
      </c>
      <c r="L1" s="38" t="s">
        <v>10</v>
      </c>
      <c r="M1" s="37" t="s">
        <v>11</v>
      </c>
      <c r="O1" s="48" t="s">
        <v>12</v>
      </c>
      <c r="P1" s="48"/>
      <c r="Q1" s="48"/>
      <c r="R1" s="48"/>
      <c r="S1" s="48"/>
      <c r="T1" s="48" t="s">
        <v>7</v>
      </c>
    </row>
    <row r="2" spans="1:20">
      <c r="A2" s="7" t="s">
        <v>13</v>
      </c>
      <c r="B2" s="8">
        <v>10</v>
      </c>
      <c r="C2" s="8">
        <v>10</v>
      </c>
      <c r="D2" s="8">
        <v>10</v>
      </c>
      <c r="E2" s="8">
        <v>10</v>
      </c>
      <c r="F2" s="8">
        <v>10</v>
      </c>
      <c r="H2" s="33" t="s">
        <v>14</v>
      </c>
      <c r="I2" s="39">
        <f>B2*C2*(D9-D2)*E9*F9</f>
        <v>8173300</v>
      </c>
      <c r="J2" s="15">
        <v>2</v>
      </c>
      <c r="K2" s="40">
        <f t="shared" ref="K2:K25" si="0">I2/$B$25</f>
        <v>0.0356375754890535</v>
      </c>
      <c r="L2" s="41">
        <f t="shared" ref="L2:L25" si="1">K2*POWER(J2-$B$20,2)</f>
        <v>0.0391384179914827</v>
      </c>
      <c r="M2" s="15">
        <f>I2*J2</f>
        <v>16346600</v>
      </c>
      <c r="O2" s="49" t="s">
        <v>15</v>
      </c>
      <c r="P2" s="49" t="s">
        <v>15</v>
      </c>
      <c r="Q2" s="49" t="s">
        <v>16</v>
      </c>
      <c r="R2" s="49" t="s">
        <v>16</v>
      </c>
      <c r="S2" s="49" t="s">
        <v>16</v>
      </c>
      <c r="T2" s="15">
        <f>B8*3*C8*3*(D9-D8*3)*(E9-E8*3)*(F9-F8*3)</f>
        <v>2481156</v>
      </c>
    </row>
    <row r="3" spans="1:20">
      <c r="A3" s="7" t="s">
        <v>17</v>
      </c>
      <c r="B3" s="8">
        <v>10</v>
      </c>
      <c r="C3" s="8">
        <v>10</v>
      </c>
      <c r="D3" s="8">
        <v>8</v>
      </c>
      <c r="E3" s="8">
        <v>8</v>
      </c>
      <c r="F3" s="8">
        <v>10</v>
      </c>
      <c r="H3" s="33" t="s">
        <v>18</v>
      </c>
      <c r="I3" s="39">
        <f>B2*C2*D2*(E9-E2)*F9</f>
        <v>1739000</v>
      </c>
      <c r="J3" s="15">
        <v>4</v>
      </c>
      <c r="K3" s="40">
        <f t="shared" si="0"/>
        <v>0.00758246287001138</v>
      </c>
      <c r="L3" s="41">
        <f t="shared" si="1"/>
        <v>0.0704418543588269</v>
      </c>
      <c r="M3" s="15">
        <f>I3*J3</f>
        <v>6956000</v>
      </c>
      <c r="O3" s="49" t="s">
        <v>15</v>
      </c>
      <c r="P3" t="s">
        <v>16</v>
      </c>
      <c r="Q3" s="49" t="s">
        <v>15</v>
      </c>
      <c r="R3" s="49" t="s">
        <v>16</v>
      </c>
      <c r="S3" s="49" t="s">
        <v>16</v>
      </c>
      <c r="T3" s="15">
        <f>B8*3*(C9-C8*3)*D8*3*(E9-E8*3)*(F9-F8*3)</f>
        <v>2481156</v>
      </c>
    </row>
    <row r="4" spans="1:20">
      <c r="A4" s="7" t="s">
        <v>19</v>
      </c>
      <c r="B4" s="8">
        <v>6</v>
      </c>
      <c r="C4" s="8">
        <v>6</v>
      </c>
      <c r="D4" s="8">
        <v>6</v>
      </c>
      <c r="E4" s="8">
        <v>6</v>
      </c>
      <c r="F4" s="8">
        <v>6</v>
      </c>
      <c r="H4" s="33" t="s">
        <v>20</v>
      </c>
      <c r="I4" s="39">
        <f>B2*C2*D2*E2*(F9-F2)</f>
        <v>370000</v>
      </c>
      <c r="J4" s="42">
        <v>20</v>
      </c>
      <c r="K4" s="40">
        <f t="shared" si="0"/>
        <v>0.00161328997234285</v>
      </c>
      <c r="L4" s="41">
        <f t="shared" si="1"/>
        <v>0.585342002548389</v>
      </c>
      <c r="M4" s="15">
        <f>I4*J4</f>
        <v>7400000</v>
      </c>
      <c r="O4" s="49" t="s">
        <v>15</v>
      </c>
      <c r="P4" s="49" t="s">
        <v>16</v>
      </c>
      <c r="Q4" s="49" t="s">
        <v>16</v>
      </c>
      <c r="R4" s="49" t="s">
        <v>15</v>
      </c>
      <c r="S4" s="49" t="s">
        <v>16</v>
      </c>
      <c r="T4" s="15">
        <f>B8*3*(C9-C8*3)*(D9-D8*3)*E8*3*(F9-F8*3)</f>
        <v>2481156</v>
      </c>
    </row>
    <row r="5" spans="1:20">
      <c r="A5" s="7" t="s">
        <v>21</v>
      </c>
      <c r="B5" s="8">
        <v>5</v>
      </c>
      <c r="C5" s="8">
        <v>5</v>
      </c>
      <c r="D5" s="8">
        <v>5</v>
      </c>
      <c r="E5" s="8">
        <v>5</v>
      </c>
      <c r="F5" s="8">
        <v>5</v>
      </c>
      <c r="H5" s="33" t="s">
        <v>22</v>
      </c>
      <c r="I5" s="39">
        <f>B2*C2*D2*E2*F2</f>
        <v>100000</v>
      </c>
      <c r="J5" s="15">
        <v>40</v>
      </c>
      <c r="K5" s="40">
        <f t="shared" si="0"/>
        <v>0.000436024316849418</v>
      </c>
      <c r="L5" s="41">
        <f t="shared" si="1"/>
        <v>0.66482533786135</v>
      </c>
      <c r="M5" s="15">
        <f t="shared" ref="M5:M7" si="2">I5*J5</f>
        <v>4000000</v>
      </c>
      <c r="O5" s="49" t="s">
        <v>15</v>
      </c>
      <c r="P5" s="49" t="s">
        <v>16</v>
      </c>
      <c r="Q5" s="49" t="s">
        <v>16</v>
      </c>
      <c r="R5" t="s">
        <v>16</v>
      </c>
      <c r="S5" s="49" t="s">
        <v>15</v>
      </c>
      <c r="T5" s="15">
        <f>B8*3*(C9-C8*3)*(D9-D8*3)*(E9-E8*3)*F8*3</f>
        <v>2481156</v>
      </c>
    </row>
    <row r="6" spans="1:20">
      <c r="A6" s="7" t="s">
        <v>23</v>
      </c>
      <c r="B6" s="8">
        <v>6</v>
      </c>
      <c r="C6" s="8">
        <v>8</v>
      </c>
      <c r="D6" s="8">
        <v>10</v>
      </c>
      <c r="E6" s="8">
        <v>10</v>
      </c>
      <c r="F6" s="8">
        <v>8</v>
      </c>
      <c r="H6" s="33" t="s">
        <v>24</v>
      </c>
      <c r="I6" s="39">
        <f>B3*C3*(D9-D3)*E9*F9</f>
        <v>8615100</v>
      </c>
      <c r="J6" s="15">
        <v>2</v>
      </c>
      <c r="K6" s="40">
        <f t="shared" si="0"/>
        <v>0.0375639309208942</v>
      </c>
      <c r="L6" s="41">
        <f t="shared" si="1"/>
        <v>0.0412540081531845</v>
      </c>
      <c r="M6" s="15">
        <f t="shared" si="2"/>
        <v>17230200</v>
      </c>
      <c r="O6" t="s">
        <v>16</v>
      </c>
      <c r="P6" s="49" t="s">
        <v>15</v>
      </c>
      <c r="Q6" s="49" t="s">
        <v>15</v>
      </c>
      <c r="R6" s="49" t="s">
        <v>16</v>
      </c>
      <c r="S6" s="49" t="s">
        <v>16</v>
      </c>
      <c r="T6" s="15">
        <f>(B9-B8*3)*C8*3*D8*3*(E9-E8*3)*(F9-F8*3)</f>
        <v>2481156</v>
      </c>
    </row>
    <row r="7" spans="1:20">
      <c r="A7" s="7" t="s">
        <v>25</v>
      </c>
      <c r="B7" s="8">
        <v>8</v>
      </c>
      <c r="C7" s="8">
        <v>6</v>
      </c>
      <c r="D7" s="8">
        <v>6</v>
      </c>
      <c r="E7" s="8">
        <v>6</v>
      </c>
      <c r="F7" s="8">
        <v>6</v>
      </c>
      <c r="H7" s="33" t="s">
        <v>26</v>
      </c>
      <c r="I7" s="39">
        <f>B3*C3*D3*(E9-E3)*F9</f>
        <v>1466400</v>
      </c>
      <c r="J7" s="15">
        <v>4</v>
      </c>
      <c r="K7" s="40">
        <f t="shared" si="0"/>
        <v>0.00639386058227987</v>
      </c>
      <c r="L7" s="41">
        <f t="shared" si="1"/>
        <v>0.0593996177296054</v>
      </c>
      <c r="M7" s="15">
        <f t="shared" si="2"/>
        <v>5865600</v>
      </c>
      <c r="O7" t="s">
        <v>16</v>
      </c>
      <c r="P7" s="49" t="s">
        <v>15</v>
      </c>
      <c r="Q7" t="s">
        <v>16</v>
      </c>
      <c r="R7" s="49" t="s">
        <v>15</v>
      </c>
      <c r="S7" s="49" t="s">
        <v>16</v>
      </c>
      <c r="T7" s="50">
        <f>(B9-B8*3)*C8*3*(D9-D8*3)*E8*3*(F9-F8*3)</f>
        <v>2481156</v>
      </c>
    </row>
    <row r="8" spans="1:20">
      <c r="A8" s="9" t="s">
        <v>15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H8" s="33" t="s">
        <v>27</v>
      </c>
      <c r="I8" s="39">
        <f>B3*C3*D3*E3*(F9-F3)</f>
        <v>236800</v>
      </c>
      <c r="J8" s="42">
        <v>20</v>
      </c>
      <c r="K8" s="40">
        <f t="shared" si="0"/>
        <v>0.00103250558229942</v>
      </c>
      <c r="L8" s="41">
        <f t="shared" si="1"/>
        <v>0.374618881630969</v>
      </c>
      <c r="M8" s="15">
        <f t="shared" ref="M8:M13" si="3">I8*J8</f>
        <v>4736000</v>
      </c>
      <c r="O8" t="s">
        <v>16</v>
      </c>
      <c r="P8" s="49" t="s">
        <v>15</v>
      </c>
      <c r="Q8" s="49" t="s">
        <v>16</v>
      </c>
      <c r="R8" t="s">
        <v>16</v>
      </c>
      <c r="S8" s="49" t="s">
        <v>15</v>
      </c>
      <c r="T8" s="15">
        <f>(B9-B8*3)*C8*3*(D9-D8*3)*E8*3*(F9-F8*3)</f>
        <v>2481156</v>
      </c>
    </row>
    <row r="9" spans="1:20">
      <c r="A9" s="10" t="s">
        <v>28</v>
      </c>
      <c r="B9" s="11">
        <f>SUM(B2:B8)</f>
        <v>47</v>
      </c>
      <c r="C9" s="11">
        <f>SUM(C2:C8)</f>
        <v>47</v>
      </c>
      <c r="D9" s="11">
        <f>SUM(D2:D8)</f>
        <v>47</v>
      </c>
      <c r="E9" s="11">
        <f>SUM(E2:E8)</f>
        <v>47</v>
      </c>
      <c r="F9" s="11">
        <f>SUM(F2:F8)</f>
        <v>47</v>
      </c>
      <c r="H9" s="33" t="s">
        <v>29</v>
      </c>
      <c r="I9" s="39">
        <f>B3*C3*D3*E3*F3</f>
        <v>64000</v>
      </c>
      <c r="J9" s="15">
        <v>40</v>
      </c>
      <c r="K9" s="40">
        <f t="shared" si="0"/>
        <v>0.000279055562783628</v>
      </c>
      <c r="L9" s="41">
        <f t="shared" si="1"/>
        <v>0.425488216231264</v>
      </c>
      <c r="M9" s="15">
        <f t="shared" si="3"/>
        <v>2560000</v>
      </c>
      <c r="O9" s="49" t="s">
        <v>16</v>
      </c>
      <c r="P9" s="49" t="s">
        <v>16</v>
      </c>
      <c r="Q9" s="49" t="s">
        <v>15</v>
      </c>
      <c r="R9" s="49" t="s">
        <v>15</v>
      </c>
      <c r="S9" s="49" t="s">
        <v>16</v>
      </c>
      <c r="T9" s="15">
        <f>(B9-B8*3)*(C9-C8*3)*D8*3*E8*3*(F9-F8*3)</f>
        <v>2481156</v>
      </c>
    </row>
    <row r="10" spans="8:20">
      <c r="H10" s="33" t="s">
        <v>30</v>
      </c>
      <c r="I10" s="39">
        <f>B4*C4*D4*(E9-E4)*F9</f>
        <v>416232</v>
      </c>
      <c r="J10" s="15">
        <v>5</v>
      </c>
      <c r="K10" s="40">
        <f t="shared" si="0"/>
        <v>0.00181487273450867</v>
      </c>
      <c r="L10" s="41">
        <f t="shared" si="1"/>
        <v>0.029738569748415</v>
      </c>
      <c r="M10" s="15">
        <f t="shared" si="3"/>
        <v>2081160</v>
      </c>
      <c r="O10" s="49" t="s">
        <v>16</v>
      </c>
      <c r="P10" s="49" t="s">
        <v>16</v>
      </c>
      <c r="Q10" s="49" t="s">
        <v>15</v>
      </c>
      <c r="R10" s="49" t="s">
        <v>16</v>
      </c>
      <c r="S10" s="49" t="s">
        <v>15</v>
      </c>
      <c r="T10" s="15">
        <f>(B9-B8*3)*(C9-C8*3)*D8*3*(E9-E8*3)*F8*3</f>
        <v>2481156</v>
      </c>
    </row>
    <row r="11" spans="3:20">
      <c r="C11" s="1"/>
      <c r="D11" s="1"/>
      <c r="E11" s="1"/>
      <c r="F11" s="1"/>
      <c r="H11" s="33" t="s">
        <v>31</v>
      </c>
      <c r="I11" s="39">
        <f>B4*C4*D4*E4*(F9-F4)</f>
        <v>53136</v>
      </c>
      <c r="J11" s="15">
        <v>75</v>
      </c>
      <c r="K11" s="40">
        <f t="shared" si="0"/>
        <v>0.000231685881001107</v>
      </c>
      <c r="L11" s="41">
        <f t="shared" si="1"/>
        <v>1.27035717834535</v>
      </c>
      <c r="M11" s="15">
        <f t="shared" si="3"/>
        <v>3985200</v>
      </c>
      <c r="O11" s="15" t="s">
        <v>16</v>
      </c>
      <c r="P11" s="15" t="s">
        <v>16</v>
      </c>
      <c r="Q11" s="15" t="s">
        <v>16</v>
      </c>
      <c r="R11" s="49" t="s">
        <v>15</v>
      </c>
      <c r="S11" s="49" t="s">
        <v>15</v>
      </c>
      <c r="T11" s="15">
        <f>(B9-B8*3)*(C9-C8*3)*(D9-D8*3)*E8*3*F8*3</f>
        <v>2481156</v>
      </c>
    </row>
    <row r="12" spans="8:13">
      <c r="H12" s="33" t="s">
        <v>32</v>
      </c>
      <c r="I12" s="39">
        <f>B4*C4*D4*E4*F4</f>
        <v>7776</v>
      </c>
      <c r="J12" s="15">
        <v>150</v>
      </c>
      <c r="K12" s="40">
        <f t="shared" si="0"/>
        <v>3.39052508782107e-5</v>
      </c>
      <c r="L12" s="41">
        <f t="shared" si="1"/>
        <v>0.75321519885411</v>
      </c>
      <c r="M12" s="15">
        <f t="shared" si="3"/>
        <v>1166400</v>
      </c>
    </row>
    <row r="13" spans="8:20">
      <c r="H13" s="33" t="s">
        <v>33</v>
      </c>
      <c r="I13" s="39">
        <f>B5*C5*D5*(E9-E5)*F9</f>
        <v>246750</v>
      </c>
      <c r="J13" s="15">
        <v>5</v>
      </c>
      <c r="K13" s="40">
        <f t="shared" si="0"/>
        <v>0.00107589000182594</v>
      </c>
      <c r="L13" s="41">
        <f t="shared" si="1"/>
        <v>0.017629572174704</v>
      </c>
      <c r="M13" s="15">
        <f t="shared" si="3"/>
        <v>1233750</v>
      </c>
      <c r="S13" s="51" t="s">
        <v>28</v>
      </c>
      <c r="T13" s="51">
        <f>SUM(T2:T11)</f>
        <v>24811560</v>
      </c>
    </row>
    <row r="14" spans="8:20">
      <c r="H14" s="33" t="s">
        <v>34</v>
      </c>
      <c r="I14" s="39">
        <f>B5*C5*D5*E5*(F9-F5)</f>
        <v>26250</v>
      </c>
      <c r="J14" s="15">
        <v>75</v>
      </c>
      <c r="K14" s="40">
        <f t="shared" si="0"/>
        <v>0.000114456383172972</v>
      </c>
      <c r="L14" s="41">
        <f t="shared" si="1"/>
        <v>0.627575954749427</v>
      </c>
      <c r="M14" s="15">
        <f t="shared" ref="M14:M25" si="4">I14*J14</f>
        <v>1968750</v>
      </c>
      <c r="O14" s="48" t="s">
        <v>35</v>
      </c>
      <c r="P14" s="48"/>
      <c r="Q14" s="48"/>
      <c r="R14" s="48"/>
      <c r="S14" s="48"/>
      <c r="T14" s="48" t="s">
        <v>7</v>
      </c>
    </row>
    <row r="15" spans="8:20">
      <c r="H15" s="33" t="s">
        <v>36</v>
      </c>
      <c r="I15" s="39">
        <f>B5*C5*D5*E5*F5</f>
        <v>3125</v>
      </c>
      <c r="J15" s="15">
        <v>150</v>
      </c>
      <c r="K15" s="40">
        <f t="shared" si="0"/>
        <v>1.36257599015443e-5</v>
      </c>
      <c r="L15" s="41">
        <f t="shared" si="1"/>
        <v>0.302700295321385</v>
      </c>
      <c r="M15" s="15">
        <f t="shared" si="4"/>
        <v>468750</v>
      </c>
      <c r="O15" s="49" t="s">
        <v>15</v>
      </c>
      <c r="P15" s="49" t="s">
        <v>15</v>
      </c>
      <c r="Q15" s="49" t="s">
        <v>15</v>
      </c>
      <c r="R15" s="49" t="s">
        <v>16</v>
      </c>
      <c r="S15" s="49" t="s">
        <v>16</v>
      </c>
      <c r="T15" s="15">
        <f>B8*3*C8*3*D8*3*(E9-E8*3)*(F9-F8*3)</f>
        <v>363096</v>
      </c>
    </row>
    <row r="16" s="1" customFormat="1" spans="3:20">
      <c r="C16"/>
      <c r="D16"/>
      <c r="E16"/>
      <c r="F16"/>
      <c r="H16" s="33" t="s">
        <v>37</v>
      </c>
      <c r="I16" s="39">
        <f>B6*C6*D6*(E9-E6)*F9</f>
        <v>834720</v>
      </c>
      <c r="J16" s="15">
        <v>12</v>
      </c>
      <c r="K16" s="40">
        <f t="shared" si="0"/>
        <v>0.00363958217760546</v>
      </c>
      <c r="L16" s="41">
        <f t="shared" si="1"/>
        <v>0.444238564553952</v>
      </c>
      <c r="M16" s="15">
        <f t="shared" si="4"/>
        <v>10016640</v>
      </c>
      <c r="O16" s="49" t="s">
        <v>15</v>
      </c>
      <c r="P16" s="49" t="s">
        <v>15</v>
      </c>
      <c r="Q16" s="49" t="s">
        <v>16</v>
      </c>
      <c r="R16" s="49" t="s">
        <v>15</v>
      </c>
      <c r="S16" s="49" t="s">
        <v>16</v>
      </c>
      <c r="T16" s="15">
        <f>B8*3*C8*3*(D9-D8*3)*E8*3*(F9-F8*3)</f>
        <v>363096</v>
      </c>
    </row>
    <row r="17" s="1" customFormat="1" spans="3:20">
      <c r="C17"/>
      <c r="D17"/>
      <c r="E17"/>
      <c r="F17"/>
      <c r="H17" s="33" t="s">
        <v>38</v>
      </c>
      <c r="I17" s="39">
        <f>B6*C6*D6*E6*(F9-F6)</f>
        <v>187200</v>
      </c>
      <c r="J17" s="15">
        <v>120</v>
      </c>
      <c r="K17" s="40">
        <f t="shared" si="0"/>
        <v>0.000816237521142111</v>
      </c>
      <c r="L17" s="41">
        <f t="shared" si="1"/>
        <v>11.5680596787942</v>
      </c>
      <c r="M17" s="15">
        <f t="shared" si="4"/>
        <v>22464000</v>
      </c>
      <c r="O17" s="49" t="s">
        <v>15</v>
      </c>
      <c r="P17" s="49" t="s">
        <v>16</v>
      </c>
      <c r="Q17" s="49" t="s">
        <v>15</v>
      </c>
      <c r="R17" s="49" t="s">
        <v>15</v>
      </c>
      <c r="S17" s="49" t="s">
        <v>16</v>
      </c>
      <c r="T17" s="15">
        <f>B8*3*(C9-C8*3)*D8*3*E8*3*(F9-F8*3)</f>
        <v>363096</v>
      </c>
    </row>
    <row r="18" spans="1:20">
      <c r="A18" s="12" t="s">
        <v>39</v>
      </c>
      <c r="B18" s="9"/>
      <c r="H18" s="33" t="s">
        <v>40</v>
      </c>
      <c r="I18" s="39">
        <f>B6*C6*D6*E6*F6</f>
        <v>38400</v>
      </c>
      <c r="J18" s="15">
        <v>200</v>
      </c>
      <c r="K18" s="40">
        <f t="shared" si="0"/>
        <v>0.000167433337670177</v>
      </c>
      <c r="L18" s="41">
        <f t="shared" si="1"/>
        <v>6.63372442989352</v>
      </c>
      <c r="M18" s="15">
        <f t="shared" si="4"/>
        <v>7680000</v>
      </c>
      <c r="O18" s="49" t="s">
        <v>16</v>
      </c>
      <c r="P18" s="49" t="s">
        <v>15</v>
      </c>
      <c r="Q18" s="49" t="s">
        <v>15</v>
      </c>
      <c r="R18" s="49" t="s">
        <v>15</v>
      </c>
      <c r="S18" s="49" t="s">
        <v>16</v>
      </c>
      <c r="T18" s="15">
        <f>(B9-B8*3)*C8*3*D8*3*E8*3*(F9-F8*3)</f>
        <v>363096</v>
      </c>
    </row>
    <row r="19" spans="1:20">
      <c r="A19" s="5" t="s">
        <v>41</v>
      </c>
      <c r="B19" s="6" t="s">
        <v>42</v>
      </c>
      <c r="H19" s="33" t="s">
        <v>43</v>
      </c>
      <c r="I19" s="39">
        <f>B7*C7*D7*(E9-E7)*F9</f>
        <v>554976</v>
      </c>
      <c r="J19" s="15">
        <v>12</v>
      </c>
      <c r="K19" s="40">
        <f t="shared" si="0"/>
        <v>0.00241983031267823</v>
      </c>
      <c r="L19" s="41">
        <f t="shared" si="1"/>
        <v>0.295358613189925</v>
      </c>
      <c r="M19" s="15">
        <f t="shared" si="4"/>
        <v>6659712</v>
      </c>
      <c r="O19" s="49" t="s">
        <v>15</v>
      </c>
      <c r="P19" s="49" t="s">
        <v>15</v>
      </c>
      <c r="Q19" s="49" t="s">
        <v>16</v>
      </c>
      <c r="R19" s="49" t="s">
        <v>16</v>
      </c>
      <c r="S19" s="49" t="s">
        <v>15</v>
      </c>
      <c r="T19" s="15">
        <f>B8*3*C8*3*(D9-D8*3)*(E9-E8*3)*F8*3</f>
        <v>363096</v>
      </c>
    </row>
    <row r="20" spans="1:20">
      <c r="A20" s="13" t="s">
        <v>44</v>
      </c>
      <c r="B20" s="14">
        <f>M26/(B25)</f>
        <v>0.952033117511906</v>
      </c>
      <c r="H20" s="33" t="s">
        <v>45</v>
      </c>
      <c r="I20" s="39">
        <f>B7*C7*D7*E7*(F9-F7)</f>
        <v>70848</v>
      </c>
      <c r="J20" s="15">
        <v>120</v>
      </c>
      <c r="K20" s="40">
        <f t="shared" si="0"/>
        <v>0.000308914508001476</v>
      </c>
      <c r="L20" s="41">
        <f t="shared" si="1"/>
        <v>4.37806566305133</v>
      </c>
      <c r="M20" s="15">
        <f t="shared" si="4"/>
        <v>8501760</v>
      </c>
      <c r="O20" s="49" t="s">
        <v>15</v>
      </c>
      <c r="P20" s="49" t="s">
        <v>16</v>
      </c>
      <c r="Q20" s="49" t="s">
        <v>15</v>
      </c>
      <c r="R20" s="49" t="s">
        <v>16</v>
      </c>
      <c r="S20" s="49" t="s">
        <v>15</v>
      </c>
      <c r="T20" s="50">
        <f>B8*3*(C9-C8*3)*D8*3*(E9-E8*3)*F8*3</f>
        <v>363096</v>
      </c>
    </row>
    <row r="21" spans="1:20">
      <c r="A21" s="15" t="s">
        <v>46</v>
      </c>
      <c r="B21" s="16">
        <f>B25/I26</f>
        <v>4.4163957316912</v>
      </c>
      <c r="H21" s="33" t="s">
        <v>47</v>
      </c>
      <c r="I21" s="39">
        <f>B7*C7*D7*E7*F7</f>
        <v>10368</v>
      </c>
      <c r="J21" s="15">
        <v>200</v>
      </c>
      <c r="K21" s="40">
        <f t="shared" si="0"/>
        <v>4.52070011709477e-5</v>
      </c>
      <c r="L21" s="41">
        <f t="shared" si="1"/>
        <v>1.79110559607125</v>
      </c>
      <c r="M21" s="15">
        <f t="shared" si="4"/>
        <v>2073600</v>
      </c>
      <c r="O21" s="49" t="s">
        <v>16</v>
      </c>
      <c r="P21" s="49" t="s">
        <v>15</v>
      </c>
      <c r="Q21" s="49" t="s">
        <v>15</v>
      </c>
      <c r="R21" s="49" t="s">
        <v>16</v>
      </c>
      <c r="S21" s="49" t="s">
        <v>15</v>
      </c>
      <c r="T21" s="15">
        <f>(B9-B8*3)*C8*3*D8*3*(E9-E8*3)*F8*3</f>
        <v>363096</v>
      </c>
    </row>
    <row r="22" spans="1:20">
      <c r="A22" s="15" t="s">
        <v>48</v>
      </c>
      <c r="B22" s="17">
        <f>L26</f>
        <v>41.9814127928405</v>
      </c>
      <c r="H22" s="33" t="s">
        <v>49</v>
      </c>
      <c r="I22" s="3">
        <v>24811560</v>
      </c>
      <c r="J22">
        <v>2</v>
      </c>
      <c r="K22" s="40">
        <f t="shared" si="0"/>
        <v>0.108184434989683</v>
      </c>
      <c r="L22" s="41">
        <f t="shared" si="1"/>
        <v>0.118811888258201</v>
      </c>
      <c r="M22" s="15">
        <f t="shared" si="4"/>
        <v>49623120</v>
      </c>
      <c r="O22" s="49" t="s">
        <v>15</v>
      </c>
      <c r="P22" s="49" t="s">
        <v>16</v>
      </c>
      <c r="Q22" s="49" t="s">
        <v>16</v>
      </c>
      <c r="R22" s="49" t="s">
        <v>15</v>
      </c>
      <c r="S22" s="49" t="s">
        <v>15</v>
      </c>
      <c r="T22" s="15">
        <f>B8*3*(C9-C8*3)*(D9-D8*3)*E8*3*F8*3</f>
        <v>363096</v>
      </c>
    </row>
    <row r="23" spans="1:20">
      <c r="A23" s="18" t="s">
        <v>50</v>
      </c>
      <c r="B23" s="17">
        <f>SQRT(B22)</f>
        <v>6.4793065055483</v>
      </c>
      <c r="H23" s="33" t="s">
        <v>51</v>
      </c>
      <c r="I23" s="39">
        <v>3630960</v>
      </c>
      <c r="J23" s="15">
        <v>5</v>
      </c>
      <c r="K23" s="40">
        <f t="shared" si="0"/>
        <v>0.0158318685350756</v>
      </c>
      <c r="L23" s="41">
        <f t="shared" si="1"/>
        <v>0.259421565890429</v>
      </c>
      <c r="M23" s="15">
        <f t="shared" si="4"/>
        <v>18154800</v>
      </c>
      <c r="O23" s="49" t="s">
        <v>16</v>
      </c>
      <c r="P23" s="49" t="s">
        <v>15</v>
      </c>
      <c r="Q23" s="49" t="s">
        <v>16</v>
      </c>
      <c r="R23" s="49" t="s">
        <v>15</v>
      </c>
      <c r="S23" s="49" t="s">
        <v>15</v>
      </c>
      <c r="T23" s="15">
        <f>(B9-B8*3)*C8*3*(D9-D8*3)*E8*3*F8*3</f>
        <v>363096</v>
      </c>
    </row>
    <row r="24" spans="1:20">
      <c r="A24" s="19" t="s">
        <v>52</v>
      </c>
      <c r="B24" s="16">
        <f>1.96*B23</f>
        <v>12.6994407508747</v>
      </c>
      <c r="H24" s="33" t="s">
        <v>53</v>
      </c>
      <c r="I24" s="3">
        <v>265680</v>
      </c>
      <c r="J24">
        <v>50</v>
      </c>
      <c r="K24" s="40">
        <f t="shared" si="0"/>
        <v>0.00115842940500553</v>
      </c>
      <c r="L24" s="41">
        <f t="shared" si="1"/>
        <v>2.78683715897772</v>
      </c>
      <c r="M24" s="15">
        <f t="shared" si="4"/>
        <v>13284000</v>
      </c>
      <c r="O24" s="49" t="s">
        <v>16</v>
      </c>
      <c r="P24" s="49" t="s">
        <v>16</v>
      </c>
      <c r="Q24" s="49" t="s">
        <v>15</v>
      </c>
      <c r="R24" s="49" t="s">
        <v>15</v>
      </c>
      <c r="S24" s="49" t="s">
        <v>15</v>
      </c>
      <c r="T24" s="15">
        <f>(B9-B8*3)*(C9-C8*3)*D8*3*E8*3*F8*3</f>
        <v>363096</v>
      </c>
    </row>
    <row r="25" spans="1:18">
      <c r="A25" s="20" t="s">
        <v>54</v>
      </c>
      <c r="B25" s="21">
        <f>B9*C9*D9*E9*F9</f>
        <v>229345007</v>
      </c>
      <c r="H25" s="33" t="s">
        <v>55</v>
      </c>
      <c r="I25" s="3">
        <v>7776</v>
      </c>
      <c r="J25">
        <v>500</v>
      </c>
      <c r="K25" s="40">
        <f t="shared" si="0"/>
        <v>3.39052508782107e-5</v>
      </c>
      <c r="L25" s="41">
        <f t="shared" si="1"/>
        <v>8.44406452846153</v>
      </c>
      <c r="M25" s="15">
        <f t="shared" si="4"/>
        <v>3888000</v>
      </c>
      <c r="O25" s="15"/>
      <c r="P25" s="15"/>
      <c r="Q25" s="15"/>
      <c r="R25" s="15"/>
    </row>
    <row r="26" spans="8:20">
      <c r="H26" s="34" t="s">
        <v>28</v>
      </c>
      <c r="I26" s="43">
        <f>SUM(I2:I25)</f>
        <v>51930357</v>
      </c>
      <c r="J26" s="44">
        <f>SUM(J2:J25)</f>
        <v>1813</v>
      </c>
      <c r="K26" s="45">
        <f>SUM(K2:K25)</f>
        <v>0.226428984346714</v>
      </c>
      <c r="L26" s="45">
        <f>SUM(L2:L25)</f>
        <v>41.9814127928405</v>
      </c>
      <c r="M26" s="44">
        <f>SUM(M2:M25)</f>
        <v>218344042</v>
      </c>
      <c r="O26" s="15"/>
      <c r="P26" s="15"/>
      <c r="Q26" s="15"/>
      <c r="R26" s="15"/>
      <c r="S26" s="51" t="s">
        <v>28</v>
      </c>
      <c r="T26" s="51">
        <f>SUM(T15:T24)</f>
        <v>3630960</v>
      </c>
    </row>
    <row r="27" spans="15:20">
      <c r="O27" s="48" t="s">
        <v>56</v>
      </c>
      <c r="P27" s="48"/>
      <c r="Q27" s="48"/>
      <c r="R27" s="48"/>
      <c r="S27" s="48"/>
      <c r="T27" s="48" t="s">
        <v>7</v>
      </c>
    </row>
    <row r="28" spans="15:20">
      <c r="O28" s="15" t="s">
        <v>15</v>
      </c>
      <c r="P28" s="15" t="s">
        <v>15</v>
      </c>
      <c r="Q28" s="15" t="s">
        <v>15</v>
      </c>
      <c r="R28" s="15" t="s">
        <v>15</v>
      </c>
      <c r="S28" s="15" t="s">
        <v>16</v>
      </c>
      <c r="T28" s="15">
        <f>B8*3*C8*3*D8*3*E8*3*(F9-F8*3)</f>
        <v>53136</v>
      </c>
    </row>
    <row r="29" spans="6:20">
      <c r="F29" s="35"/>
      <c r="O29" s="15" t="s">
        <v>15</v>
      </c>
      <c r="P29" s="15" t="s">
        <v>15</v>
      </c>
      <c r="Q29" s="15" t="s">
        <v>15</v>
      </c>
      <c r="R29" s="15" t="s">
        <v>16</v>
      </c>
      <c r="S29" s="15" t="s">
        <v>15</v>
      </c>
      <c r="T29" s="50">
        <f>B8*3*C8*3*D8*3*(E9-E8*3)*F8*3</f>
        <v>53136</v>
      </c>
    </row>
    <row r="30" spans="15:20">
      <c r="O30" s="15" t="s">
        <v>15</v>
      </c>
      <c r="P30" s="15" t="s">
        <v>15</v>
      </c>
      <c r="Q30" s="15" t="s">
        <v>16</v>
      </c>
      <c r="R30" s="15" t="s">
        <v>15</v>
      </c>
      <c r="S30" s="15" t="s">
        <v>15</v>
      </c>
      <c r="T30" s="15">
        <f>B8*3*C8*3*(D9-D8*3)*E8*3*F8*3</f>
        <v>53136</v>
      </c>
    </row>
    <row r="31" spans="1:20">
      <c r="A31" s="22" t="s">
        <v>57</v>
      </c>
      <c r="B31" s="23"/>
      <c r="C31" s="24"/>
      <c r="D31" s="25"/>
      <c r="E31" s="25"/>
      <c r="F31" s="24"/>
      <c r="O31" s="15" t="s">
        <v>15</v>
      </c>
      <c r="P31" s="15" t="s">
        <v>16</v>
      </c>
      <c r="Q31" s="15" t="s">
        <v>15</v>
      </c>
      <c r="R31" s="15" t="s">
        <v>15</v>
      </c>
      <c r="S31" s="15" t="s">
        <v>15</v>
      </c>
      <c r="T31" s="50">
        <f>B8*3*(C9-C8*3)*D8*3*E8*3*F8*3</f>
        <v>53136</v>
      </c>
    </row>
    <row r="32" spans="1:20">
      <c r="A32" s="26"/>
      <c r="B32" s="27"/>
      <c r="C32" s="28"/>
      <c r="D32" s="29"/>
      <c r="E32" s="29"/>
      <c r="O32" s="15" t="s">
        <v>16</v>
      </c>
      <c r="P32" s="15" t="s">
        <v>15</v>
      </c>
      <c r="Q32" s="15" t="s">
        <v>15</v>
      </c>
      <c r="R32" s="15" t="s">
        <v>15</v>
      </c>
      <c r="S32" s="15" t="s">
        <v>15</v>
      </c>
      <c r="T32" s="15">
        <f>(B9-B8*3)*C8*3*D8*3*E8*3*F8*3</f>
        <v>53136</v>
      </c>
    </row>
    <row r="33" spans="1:18">
      <c r="A33" s="30" t="s">
        <v>58</v>
      </c>
      <c r="B33" s="30"/>
      <c r="C33" s="30"/>
      <c r="D33" s="30"/>
      <c r="E33" s="30"/>
      <c r="F33" s="30"/>
      <c r="G33" s="30"/>
      <c r="H33" s="22"/>
      <c r="I33" s="46"/>
      <c r="O33" s="15"/>
      <c r="P33" s="15"/>
      <c r="Q33" s="15"/>
      <c r="R33" s="15"/>
    </row>
    <row r="34" spans="19:20">
      <c r="S34" s="51" t="s">
        <v>28</v>
      </c>
      <c r="T34" s="51">
        <f>SUM(T28:T32)</f>
        <v>265680</v>
      </c>
    </row>
    <row r="35" spans="1:20">
      <c r="A35" s="30" t="s">
        <v>59</v>
      </c>
      <c r="B35" s="30"/>
      <c r="C35" s="30"/>
      <c r="D35" s="31"/>
      <c r="E35" s="31"/>
      <c r="F35" s="31"/>
      <c r="G35" s="31"/>
      <c r="H35" s="26"/>
      <c r="I35" s="47"/>
      <c r="O35" s="48" t="s">
        <v>60</v>
      </c>
      <c r="P35" s="48"/>
      <c r="Q35" s="48"/>
      <c r="R35" s="48"/>
      <c r="S35" s="48"/>
      <c r="T35" s="48" t="s">
        <v>7</v>
      </c>
    </row>
    <row r="36" spans="15:20">
      <c r="O36" s="15" t="s">
        <v>15</v>
      </c>
      <c r="P36" s="15" t="s">
        <v>15</v>
      </c>
      <c r="Q36" s="15" t="s">
        <v>15</v>
      </c>
      <c r="R36" s="15" t="s">
        <v>15</v>
      </c>
      <c r="S36" s="15" t="s">
        <v>15</v>
      </c>
      <c r="T36" s="15">
        <f>B8*3*C8*3*D8*3*E8*3*F8*3</f>
        <v>7776</v>
      </c>
    </row>
    <row r="37" spans="1:18">
      <c r="A37" s="30" t="s">
        <v>61</v>
      </c>
      <c r="B37" s="30"/>
      <c r="C37" s="30"/>
      <c r="D37" s="31"/>
      <c r="O37" s="15"/>
      <c r="P37" s="15"/>
      <c r="Q37" s="15"/>
      <c r="R37" s="15"/>
    </row>
    <row r="38" spans="15:20">
      <c r="O38" s="15"/>
      <c r="P38" s="15"/>
      <c r="Q38" s="15"/>
      <c r="R38" s="15"/>
      <c r="S38" s="51" t="s">
        <v>28</v>
      </c>
      <c r="T38" s="51">
        <f>SUM(T36)</f>
        <v>7776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rolling_sevens_maths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Pantelis-Arsenios</dc:creator>
  <cp:lastModifiedBy>Pantelis-Arsenios</cp:lastModifiedBy>
  <dcterms:created xsi:type="dcterms:W3CDTF">2018-11-30T13:15:00Z</dcterms:created>
  <dcterms:modified xsi:type="dcterms:W3CDTF">2020-12-09T21:37:46Z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