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3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<sst xmlns="http://schemas.openxmlformats.org/spreadsheetml/2006/main" count="63">
  <si>
    <t>Symbol</t>
  </si>
  <si>
    <t>Reel 1</t>
  </si>
  <si>
    <t>Reel 2</t>
  </si>
  <si>
    <t>Reel 3</t>
  </si>
  <si>
    <t>Reel 4</t>
  </si>
  <si>
    <t>Reel 5</t>
  </si>
  <si>
    <t>Combination</t>
  </si>
  <si>
    <t>Hits</t>
  </si>
  <si>
    <t>Payment</t>
  </si>
  <si>
    <t>Probability</t>
  </si>
  <si>
    <t>P(Win-RTP)^2</t>
  </si>
  <si>
    <t>Total Payments</t>
  </si>
  <si>
    <t>2/5 sym_scatt</t>
  </si>
  <si>
    <t>symbol_01</t>
  </si>
  <si>
    <t>2 symbol_01</t>
  </si>
  <si>
    <t>sym_scatt</t>
  </si>
  <si>
    <t>x</t>
  </si>
  <si>
    <t>symbol_02</t>
  </si>
  <si>
    <t>3 symbol_01</t>
  </si>
  <si>
    <t>symbol_03</t>
  </si>
  <si>
    <t>4 symbol_01</t>
  </si>
  <si>
    <t>symbol_04</t>
  </si>
  <si>
    <t>5 symbol_01</t>
  </si>
  <si>
    <t>symbol_05</t>
  </si>
  <si>
    <t>2 symbol_02</t>
  </si>
  <si>
    <t>symbol_06</t>
  </si>
  <si>
    <t>3 symbol_02</t>
  </si>
  <si>
    <t>4 symbol_02</t>
  </si>
  <si>
    <t>symb_wild</t>
  </si>
  <si>
    <t>5 symbol_02</t>
  </si>
  <si>
    <t>Total</t>
  </si>
  <si>
    <t>3 symbol_03</t>
  </si>
  <si>
    <t>4 symbol_03</t>
  </si>
  <si>
    <t>5 symbol_03</t>
  </si>
  <si>
    <t>3 symbol_04</t>
  </si>
  <si>
    <t>4 symbol_04</t>
  </si>
  <si>
    <t>3/5 sym_scatt</t>
  </si>
  <si>
    <t>5 symbol_04</t>
  </si>
  <si>
    <t>3 symbol_05</t>
  </si>
  <si>
    <t>4 symbol_05</t>
  </si>
  <si>
    <t>Summary</t>
  </si>
  <si>
    <t>5 symbol_05</t>
  </si>
  <si>
    <t>Statistic</t>
  </si>
  <si>
    <t>Data</t>
  </si>
  <si>
    <t>3 symbol_06</t>
  </si>
  <si>
    <t>RTP</t>
  </si>
  <si>
    <t>4 symbol_06</t>
  </si>
  <si>
    <t>Hitrate</t>
  </si>
  <si>
    <t>5 symbol_06</t>
  </si>
  <si>
    <t>Variance</t>
  </si>
  <si>
    <t>2 sym_scatt</t>
  </si>
  <si>
    <t>Standrard Deviation</t>
  </si>
  <si>
    <t>3 sym_scatt</t>
  </si>
  <si>
    <t>Volatility</t>
  </si>
  <si>
    <t>4 sym_scatt</t>
  </si>
  <si>
    <t>Cycle</t>
  </si>
  <si>
    <t>5 sym_scatt</t>
  </si>
  <si>
    <t>4/5 sym_scatt</t>
  </si>
  <si>
    <t>*The payments of sym_scatt is x10 (totalbet) because we have 10 paylines</t>
  </si>
  <si>
    <t>**Hitrate shows how many times you get paid e.g. 9 means that if you play 9 times, statistically, you get a payment</t>
  </si>
  <si>
    <t>***Volatility shows how hard is to get a payment</t>
  </si>
  <si>
    <t>5/5 sym_scatt</t>
  </si>
  <si>
    <t>****Use commas (,) to declare the decimals places</t>
  </si>
</sst>
</file>

<file path=xl/styles.xml><?xml version="1.0" encoding="utf-8"?>
<styleSheet xmlns="http://schemas.openxmlformats.org/spreadsheetml/2006/main">
  <numFmts count="9">
    <numFmt numFmtId="176" formatCode="_(* #,##0.0000000_);_(* \(#,##0.0000000\);_(* &quot;-&quot;??.000_);_(@_)"/>
    <numFmt numFmtId="43" formatCode="_-* #,##0.00_-;\-* #,##0.00_-;_-* &quot;-&quot;??_-;_-@_-"/>
    <numFmt numFmtId="177" formatCode="0.000"/>
    <numFmt numFmtId="178" formatCode="_(* #,##0.0000_);_(* \(#,##0.0000\);_(* &quot;-&quot;??_);_(@_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179" formatCode="_(* #,##0_);_(* \(#,##0\);_(* &quot;-&quot;??_);_(@_)"/>
    <numFmt numFmtId="180" formatCode="#,000_);[Red]\(#,000\)"/>
  </numFmts>
  <fonts count="29">
    <font>
      <sz val="11"/>
      <color theme="1"/>
      <name val="Calibri"/>
      <charset val="134"/>
      <scheme val="minor"/>
    </font>
    <font>
      <b/>
      <sz val="10"/>
      <color indexed="9"/>
      <name val="Arial"/>
      <charset val="134"/>
    </font>
    <font>
      <sz val="10"/>
      <name val="Arial"/>
      <charset val="161"/>
    </font>
    <font>
      <sz val="10"/>
      <name val="Arial"/>
      <charset val="134"/>
    </font>
    <font>
      <sz val="10"/>
      <color theme="1"/>
      <name val="Arial Regular"/>
      <charset val="134"/>
    </font>
    <font>
      <b/>
      <i/>
      <sz val="10"/>
      <name val="Arial"/>
      <charset val="134"/>
    </font>
    <font>
      <b/>
      <sz val="10"/>
      <name val="Arial"/>
      <charset val="161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61"/>
      <scheme val="minor"/>
    </font>
    <font>
      <b/>
      <sz val="10"/>
      <color indexed="9"/>
      <name val="Arial"/>
      <charset val="161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3" fillId="0" borderId="0"/>
    <xf numFmtId="0" fontId="10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ill="1" applyAlignment="1">
      <alignment horizontal="left" vertical="center"/>
    </xf>
    <xf numFmtId="180" fontId="0" fillId="0" borderId="0" xfId="0" applyNumberFormat="1" applyFill="1" applyAlignment="1"/>
    <xf numFmtId="178" fontId="0" fillId="0" borderId="0" xfId="0" applyNumberFormat="1" applyFill="1" applyAlignment="1"/>
    <xf numFmtId="0" fontId="1" fillId="2" borderId="0" xfId="1" applyFont="1" applyFill="1"/>
    <xf numFmtId="0" fontId="1" fillId="2" borderId="0" xfId="1" applyFont="1" applyFill="1" applyAlignment="1">
      <alignment horizontal="right" indent="1"/>
    </xf>
    <xf numFmtId="0" fontId="2" fillId="0" borderId="0" xfId="1" applyFont="1"/>
    <xf numFmtId="0" fontId="3" fillId="0" borderId="0" xfId="1" applyNumberFormat="1" applyAlignment="1"/>
    <xf numFmtId="0" fontId="3" fillId="0" borderId="0" xfId="1"/>
    <xf numFmtId="0" fontId="4" fillId="0" borderId="0" xfId="0" applyNumberFormat="1" applyFont="1" applyFill="1" applyAlignment="1"/>
    <xf numFmtId="0" fontId="0" fillId="0" borderId="0" xfId="0" applyNumberFormat="1" applyFill="1" applyAlignment="1"/>
    <xf numFmtId="177" fontId="3" fillId="3" borderId="1" xfId="1" applyNumberFormat="1" applyFill="1" applyBorder="1"/>
    <xf numFmtId="0" fontId="3" fillId="3" borderId="1" xfId="1" applyNumberFormat="1" applyFill="1" applyBorder="1" applyAlignment="1">
      <alignment horizontal="right" indent="1"/>
    </xf>
    <xf numFmtId="0" fontId="5" fillId="0" borderId="0" xfId="1" applyFont="1"/>
    <xf numFmtId="179" fontId="6" fillId="0" borderId="0" xfId="46" applyNumberFormat="1" applyFont="1"/>
    <xf numFmtId="10" fontId="3" fillId="0" borderId="0" xfId="49" applyNumberFormat="1" applyFont="1" applyAlignment="1"/>
    <xf numFmtId="179" fontId="0" fillId="0" borderId="0" xfId="46" applyNumberFormat="1" applyFont="1"/>
    <xf numFmtId="178" fontId="0" fillId="0" borderId="0" xfId="46" applyNumberFormat="1" applyFont="1"/>
    <xf numFmtId="178" fontId="3" fillId="0" borderId="0" xfId="46" applyNumberFormat="1" applyFont="1" applyAlignment="1"/>
    <xf numFmtId="179" fontId="3" fillId="0" borderId="0" xfId="46" applyNumberFormat="1" applyFont="1"/>
    <xf numFmtId="179" fontId="7" fillId="0" borderId="0" xfId="46" applyNumberFormat="1" applyFont="1"/>
    <xf numFmtId="179" fontId="3" fillId="3" borderId="1" xfId="46" applyNumberFormat="1" applyFont="1" applyFill="1" applyBorder="1"/>
    <xf numFmtId="179" fontId="3" fillId="3" borderId="1" xfId="46" applyNumberFormat="1" applyFont="1" applyFill="1" applyBorder="1" applyAlignment="1"/>
    <xf numFmtId="0" fontId="7" fillId="4" borderId="0" xfId="0" applyFont="1" applyFill="1" applyAlignment="1">
      <alignment horizontal="left" vertical="center"/>
    </xf>
    <xf numFmtId="0" fontId="0" fillId="4" borderId="0" xfId="0" applyNumberFormat="1" applyFill="1" applyAlignment="1"/>
    <xf numFmtId="0" fontId="0" fillId="4" borderId="0" xfId="0" applyFill="1" applyAlignment="1"/>
    <xf numFmtId="178" fontId="0" fillId="4" borderId="0" xfId="0" applyNumberFormat="1" applyFill="1" applyAlignment="1"/>
    <xf numFmtId="0" fontId="7" fillId="0" borderId="0" xfId="0" applyFont="1" applyFill="1" applyAlignment="1">
      <alignment horizontal="left" vertical="center"/>
    </xf>
    <xf numFmtId="0" fontId="7" fillId="4" borderId="0" xfId="0" applyFont="1" applyFill="1" applyAlignment="1"/>
    <xf numFmtId="0" fontId="7" fillId="0" borderId="0" xfId="0" applyFont="1" applyFill="1" applyAlignment="1"/>
    <xf numFmtId="179" fontId="1" fillId="2" borderId="0" xfId="1" applyNumberFormat="1" applyFont="1" applyFill="1" applyAlignment="1">
      <alignment horizontal="left" vertical="center"/>
    </xf>
    <xf numFmtId="179" fontId="8" fillId="0" borderId="0" xfId="46" applyNumberFormat="1" applyFont="1" applyAlignment="1">
      <alignment vertical="center"/>
    </xf>
    <xf numFmtId="179" fontId="3" fillId="3" borderId="1" xfId="46" applyNumberFormat="1" applyFont="1" applyFill="1" applyBorder="1" applyAlignment="1">
      <alignment horizontal="left" vertical="center"/>
    </xf>
    <xf numFmtId="0" fontId="0" fillId="0" borderId="0" xfId="0" applyFill="1" applyAlignment="1">
      <alignment wrapText="1"/>
    </xf>
    <xf numFmtId="180" fontId="9" fillId="2" borderId="0" xfId="1" applyNumberFormat="1" applyFont="1" applyFill="1" applyAlignment="1">
      <alignment horizontal="center"/>
    </xf>
    <xf numFmtId="179" fontId="1" fillId="2" borderId="0" xfId="1" applyNumberFormat="1" applyFont="1" applyFill="1" applyAlignment="1">
      <alignment horizontal="center"/>
    </xf>
    <xf numFmtId="178" fontId="1" fillId="2" borderId="0" xfId="1" applyNumberFormat="1" applyFont="1" applyFill="1" applyAlignment="1">
      <alignment horizontal="center"/>
    </xf>
    <xf numFmtId="180" fontId="0" fillId="0" borderId="0" xfId="46" applyNumberFormat="1" applyFont="1" applyAlignment="1">
      <alignment vertical="center"/>
    </xf>
    <xf numFmtId="179" fontId="0" fillId="0" borderId="0" xfId="46" applyNumberFormat="1" applyFont="1" applyAlignment="1">
      <alignment vertical="center"/>
    </xf>
    <xf numFmtId="176" fontId="0" fillId="0" borderId="0" xfId="46" applyNumberFormat="1" applyFont="1" applyAlignment="1">
      <alignment vertical="center"/>
    </xf>
    <xf numFmtId="178" fontId="0" fillId="0" borderId="0" xfId="46" applyNumberFormat="1" applyFont="1" applyAlignment="1">
      <alignment vertical="center"/>
    </xf>
    <xf numFmtId="180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80" fontId="3" fillId="3" borderId="1" xfId="46" applyNumberFormat="1" applyFont="1" applyFill="1" applyBorder="1" applyAlignment="1">
      <alignment horizontal="right"/>
    </xf>
    <xf numFmtId="179" fontId="3" fillId="3" borderId="1" xfId="46" applyNumberFormat="1" applyFont="1" applyFill="1" applyBorder="1" applyAlignment="1">
      <alignment horizontal="right"/>
    </xf>
    <xf numFmtId="178" fontId="3" fillId="3" borderId="1" xfId="46" applyNumberFormat="1" applyFont="1" applyFill="1" applyBorder="1" applyAlignment="1">
      <alignment horizontal="center"/>
    </xf>
    <xf numFmtId="180" fontId="7" fillId="4" borderId="0" xfId="0" applyNumberFormat="1" applyFont="1" applyFill="1" applyAlignment="1"/>
    <xf numFmtId="180" fontId="7" fillId="0" borderId="0" xfId="0" applyNumberFormat="1" applyFont="1" applyFill="1" applyAlignment="1"/>
    <xf numFmtId="179" fontId="1" fillId="2" borderId="0" xfId="46" applyNumberFormat="1" applyFont="1" applyFill="1" applyAlignment="1">
      <alignment horizontal="center"/>
    </xf>
    <xf numFmtId="179" fontId="0" fillId="0" borderId="0" xfId="46" applyNumberFormat="1" applyFont="1" applyAlignment="1">
      <alignment horizontal="left"/>
    </xf>
    <xf numFmtId="179" fontId="0" fillId="0" borderId="0" xfId="46" applyNumberFormat="1" applyFont="1" applyFill="1"/>
    <xf numFmtId="179" fontId="0" fillId="3" borderId="1" xfId="46" applyNumberFormat="1" applyFont="1" applyFill="1" applyBorder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20% - Accent2" xfId="43" builtinId="34"/>
    <cellStyle name="Link" xfId="44" builtinId="8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8"/>
  <sheetViews>
    <sheetView tabSelected="1" zoomScale="85" zoomScaleNormal="85" workbookViewId="0">
      <selection activeCell="T13" sqref="T13"/>
    </sheetView>
  </sheetViews>
  <sheetFormatPr defaultColWidth="9" defaultRowHeight="14"/>
  <cols>
    <col min="1" max="1" width="17.5703125" style="1" customWidth="1"/>
    <col min="2" max="2" width="17" style="1" customWidth="1"/>
    <col min="3" max="7" width="9" style="1"/>
    <col min="8" max="8" width="14.5703125" style="3" customWidth="1"/>
    <col min="9" max="9" width="18.5703125" style="4" customWidth="1"/>
    <col min="10" max="10" width="11.5703125" style="1" customWidth="1"/>
    <col min="11" max="11" width="16.96875" style="5" customWidth="1"/>
    <col min="12" max="12" width="14.140625" style="5" customWidth="1"/>
    <col min="13" max="13" width="15.859375" style="1" customWidth="1"/>
    <col min="14" max="14" width="8.140625" style="1" customWidth="1"/>
    <col min="15" max="15" width="17.3046875" style="1" customWidth="1"/>
    <col min="16" max="16" width="18.140625" style="1" customWidth="1"/>
    <col min="17" max="17" width="15.6171875" style="1" customWidth="1"/>
    <col min="18" max="18" width="16.296875" style="1" customWidth="1"/>
    <col min="19" max="19" width="21.5078125" style="1" customWidth="1"/>
    <col min="20" max="20" width="13.2890625" style="1" customWidth="1"/>
    <col min="21" max="16384" width="9" style="1"/>
  </cols>
  <sheetData>
    <row r="1" s="1" customFormat="1" spans="1:20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H1" s="32" t="s">
        <v>6</v>
      </c>
      <c r="I1" s="36" t="s">
        <v>7</v>
      </c>
      <c r="J1" s="37" t="s">
        <v>8</v>
      </c>
      <c r="K1" s="38" t="s">
        <v>9</v>
      </c>
      <c r="L1" s="38" t="s">
        <v>10</v>
      </c>
      <c r="M1" s="37" t="s">
        <v>11</v>
      </c>
      <c r="O1" s="50" t="s">
        <v>12</v>
      </c>
      <c r="P1" s="50"/>
      <c r="Q1" s="50"/>
      <c r="R1" s="50"/>
      <c r="S1" s="50"/>
      <c r="T1" s="50" t="s">
        <v>7</v>
      </c>
    </row>
    <row r="2" s="1" customFormat="1" spans="1:20">
      <c r="A2" s="8" t="s">
        <v>13</v>
      </c>
      <c r="B2" s="9">
        <v>20</v>
      </c>
      <c r="C2" s="9">
        <v>15</v>
      </c>
      <c r="D2" s="9">
        <v>20</v>
      </c>
      <c r="E2" s="9">
        <v>15</v>
      </c>
      <c r="F2" s="9">
        <v>20</v>
      </c>
      <c r="H2" s="33" t="s">
        <v>14</v>
      </c>
      <c r="I2" s="39">
        <f>(B2+B9)*(C2+C9)*(D10-D2-D9)*E10*F10</f>
        <v>107980800</v>
      </c>
      <c r="J2" s="40">
        <v>2</v>
      </c>
      <c r="K2" s="41">
        <f t="shared" ref="K2:K25" si="0">I2/$B$25</f>
        <v>0.0438900438900439</v>
      </c>
      <c r="L2" s="42">
        <f t="shared" ref="L2:L25" si="1">K2*POWER(J2-$B$20,2)</f>
        <v>0.0481352163426266</v>
      </c>
      <c r="M2" s="40">
        <f t="shared" ref="M2:M25" si="2">I2*J2</f>
        <v>215961600</v>
      </c>
      <c r="O2" s="51" t="s">
        <v>15</v>
      </c>
      <c r="P2" s="51" t="s">
        <v>15</v>
      </c>
      <c r="Q2" s="51" t="s">
        <v>16</v>
      </c>
      <c r="R2" s="51" t="s">
        <v>16</v>
      </c>
      <c r="S2" s="51" t="s">
        <v>16</v>
      </c>
      <c r="T2" s="18">
        <f>B8*3*C8*3*(D10-D8*3)*(E10-E8*3)*(F10-F8*3)</f>
        <v>6809184</v>
      </c>
    </row>
    <row r="3" s="1" customFormat="1" spans="1:20">
      <c r="A3" s="8" t="s">
        <v>17</v>
      </c>
      <c r="B3" s="9">
        <v>15</v>
      </c>
      <c r="C3" s="9">
        <v>18</v>
      </c>
      <c r="D3" s="9">
        <v>18</v>
      </c>
      <c r="E3" s="9">
        <v>18</v>
      </c>
      <c r="F3" s="9">
        <v>20</v>
      </c>
      <c r="H3" s="33" t="s">
        <v>18</v>
      </c>
      <c r="I3" s="39">
        <f>(B2+B9)*(C2+C9)*(D2+D9)*(E10-E2-E9)*F10</f>
        <v>31180800</v>
      </c>
      <c r="J3" s="40">
        <v>4</v>
      </c>
      <c r="K3" s="41">
        <f t="shared" si="0"/>
        <v>0.0126737964575802</v>
      </c>
      <c r="L3" s="42">
        <f t="shared" si="1"/>
        <v>0.117685128231066</v>
      </c>
      <c r="M3" s="40">
        <f t="shared" si="2"/>
        <v>124723200</v>
      </c>
      <c r="O3" s="51" t="s">
        <v>15</v>
      </c>
      <c r="P3" s="1" t="s">
        <v>16</v>
      </c>
      <c r="Q3" s="51" t="s">
        <v>15</v>
      </c>
      <c r="R3" s="51" t="s">
        <v>16</v>
      </c>
      <c r="S3" s="51" t="s">
        <v>16</v>
      </c>
      <c r="T3" s="18">
        <f>B8*3*(C10-C8*3)*D8*3*(E10-E8*3)*(F10-F8*3)</f>
        <v>13050936</v>
      </c>
    </row>
    <row r="4" s="1" customFormat="1" spans="1:20">
      <c r="A4" s="8" t="s">
        <v>19</v>
      </c>
      <c r="B4" s="9">
        <v>12</v>
      </c>
      <c r="C4" s="9">
        <v>12</v>
      </c>
      <c r="D4" s="9">
        <v>12</v>
      </c>
      <c r="E4" s="9">
        <v>12</v>
      </c>
      <c r="F4" s="9">
        <v>12</v>
      </c>
      <c r="H4" s="33" t="s">
        <v>20</v>
      </c>
      <c r="I4" s="39">
        <f>(B2+B9)*(C2+C9)*(D2+D9)*(E2+E9)*(F10-F2-F9)</f>
        <v>6343680</v>
      </c>
      <c r="J4" s="33">
        <v>20</v>
      </c>
      <c r="K4" s="41">
        <f t="shared" si="0"/>
        <v>0.0025784620379215</v>
      </c>
      <c r="L4" s="42">
        <f t="shared" si="1"/>
        <v>0.935459727850779</v>
      </c>
      <c r="M4" s="40">
        <f t="shared" si="2"/>
        <v>126873600</v>
      </c>
      <c r="O4" s="51" t="s">
        <v>15</v>
      </c>
      <c r="P4" s="51" t="s">
        <v>16</v>
      </c>
      <c r="Q4" s="51" t="s">
        <v>16</v>
      </c>
      <c r="R4" s="51" t="s">
        <v>15</v>
      </c>
      <c r="S4" s="51" t="s">
        <v>16</v>
      </c>
      <c r="T4" s="18">
        <f>B8*3*(C10-C8*3)*(D10-D8*3)*E8*3*(F10-F8*3)</f>
        <v>6617376</v>
      </c>
    </row>
    <row r="5" s="1" customFormat="1" spans="1:20">
      <c r="A5" s="8" t="s">
        <v>21</v>
      </c>
      <c r="B5" s="9">
        <v>10</v>
      </c>
      <c r="C5" s="9">
        <v>10</v>
      </c>
      <c r="D5" s="9">
        <v>10</v>
      </c>
      <c r="E5" s="9">
        <v>10</v>
      </c>
      <c r="F5" s="9">
        <v>10</v>
      </c>
      <c r="H5" s="33" t="s">
        <v>22</v>
      </c>
      <c r="I5" s="39">
        <f>(B2+B9)*(C2+C9)*(D2+D9)*(E2+E9)*(F2+F9)</f>
        <v>2257920</v>
      </c>
      <c r="J5" s="40">
        <v>40</v>
      </c>
      <c r="K5" s="41">
        <f t="shared" si="0"/>
        <v>0.000917757674514431</v>
      </c>
      <c r="L5" s="42">
        <f t="shared" si="1"/>
        <v>1.3992935372534</v>
      </c>
      <c r="M5" s="40">
        <f t="shared" si="2"/>
        <v>90316800</v>
      </c>
      <c r="O5" s="51" t="s">
        <v>15</v>
      </c>
      <c r="P5" s="51" t="s">
        <v>16</v>
      </c>
      <c r="Q5" s="51" t="s">
        <v>16</v>
      </c>
      <c r="R5" s="1" t="s">
        <v>16</v>
      </c>
      <c r="S5" s="51" t="s">
        <v>15</v>
      </c>
      <c r="T5" s="18">
        <f>B8*3*(C10-C8*3)*(D10-D8*3)*(E10-E8*3)*F8*3</f>
        <v>12698208</v>
      </c>
    </row>
    <row r="6" s="1" customFormat="1" spans="1:20">
      <c r="A6" s="8" t="s">
        <v>23</v>
      </c>
      <c r="B6" s="9">
        <v>9</v>
      </c>
      <c r="C6" s="9">
        <v>9</v>
      </c>
      <c r="D6" s="9">
        <v>9</v>
      </c>
      <c r="E6" s="9">
        <v>9</v>
      </c>
      <c r="F6" s="9">
        <v>9</v>
      </c>
      <c r="H6" s="33" t="s">
        <v>24</v>
      </c>
      <c r="I6" s="39">
        <f>(B3+B9)*(C3+C9)*(D10-D3-D9)*E10*F10</f>
        <v>99544800</v>
      </c>
      <c r="J6" s="40">
        <v>2</v>
      </c>
      <c r="K6" s="41">
        <f t="shared" si="0"/>
        <v>0.0404611342111342</v>
      </c>
      <c r="L6" s="42">
        <f t="shared" si="1"/>
        <v>0.0443746525658589</v>
      </c>
      <c r="M6" s="40">
        <f t="shared" si="2"/>
        <v>199089600</v>
      </c>
      <c r="O6" s="1" t="s">
        <v>16</v>
      </c>
      <c r="P6" s="51" t="s">
        <v>15</v>
      </c>
      <c r="Q6" s="51" t="s">
        <v>15</v>
      </c>
      <c r="R6" s="51" t="s">
        <v>16</v>
      </c>
      <c r="S6" s="51" t="s">
        <v>16</v>
      </c>
      <c r="T6" s="18">
        <f>(B10-B8*3)*C8*3*D8*3*(E10-E8*3)*(F10-F8*3)</f>
        <v>6430896</v>
      </c>
    </row>
    <row r="7" s="1" customFormat="1" spans="1:20">
      <c r="A7" s="8" t="s">
        <v>25</v>
      </c>
      <c r="B7" s="9">
        <v>6</v>
      </c>
      <c r="C7" s="9">
        <v>6</v>
      </c>
      <c r="D7" s="9">
        <v>6</v>
      </c>
      <c r="E7" s="9">
        <v>8</v>
      </c>
      <c r="F7" s="9">
        <v>6</v>
      </c>
      <c r="H7" s="33" t="s">
        <v>26</v>
      </c>
      <c r="I7" s="39">
        <f>(B3+B9)*(C3+C9)*(D3+D9)*(E10-E3-E9)*F10</f>
        <v>23826000</v>
      </c>
      <c r="J7" s="40">
        <v>4</v>
      </c>
      <c r="K7" s="41">
        <f t="shared" si="0"/>
        <v>0.00968435301205572</v>
      </c>
      <c r="L7" s="42">
        <f t="shared" si="1"/>
        <v>0.0899260399102454</v>
      </c>
      <c r="M7" s="40">
        <f t="shared" si="2"/>
        <v>95304000</v>
      </c>
      <c r="O7" s="1" t="s">
        <v>16</v>
      </c>
      <c r="P7" s="51" t="s">
        <v>15</v>
      </c>
      <c r="Q7" s="1" t="s">
        <v>16</v>
      </c>
      <c r="R7" s="51" t="s">
        <v>15</v>
      </c>
      <c r="S7" s="51" t="s">
        <v>16</v>
      </c>
      <c r="T7" s="52">
        <f>(B10-B8*3)*C8*3*(D10-D8*3)*E8*3*(F10-F8*3)</f>
        <v>3260736</v>
      </c>
    </row>
    <row r="8" s="1" customFormat="1" spans="1:20">
      <c r="A8" s="10" t="s">
        <v>15</v>
      </c>
      <c r="B8" s="9">
        <v>2</v>
      </c>
      <c r="C8" s="9">
        <v>1</v>
      </c>
      <c r="D8" s="9">
        <v>2</v>
      </c>
      <c r="E8" s="9">
        <v>1</v>
      </c>
      <c r="F8" s="9">
        <v>2</v>
      </c>
      <c r="H8" s="33" t="s">
        <v>27</v>
      </c>
      <c r="I8" s="39">
        <f>(B3+B9)*(C3+C9)*(D3+D9)*(E3+E9)*(F10-F3-F9)</f>
        <v>6070215</v>
      </c>
      <c r="J8" s="33">
        <v>20</v>
      </c>
      <c r="K8" s="41">
        <f t="shared" si="0"/>
        <v>0.00246730902875329</v>
      </c>
      <c r="L8" s="42">
        <f t="shared" si="1"/>
        <v>0.895133687685336</v>
      </c>
      <c r="M8" s="40">
        <f t="shared" si="2"/>
        <v>121404300</v>
      </c>
      <c r="O8" s="1" t="s">
        <v>16</v>
      </c>
      <c r="P8" s="51" t="s">
        <v>15</v>
      </c>
      <c r="Q8" s="51" t="s">
        <v>16</v>
      </c>
      <c r="R8" s="1" t="s">
        <v>16</v>
      </c>
      <c r="S8" s="51" t="s">
        <v>15</v>
      </c>
      <c r="T8" s="18">
        <f>(B10-B8*3)*C8*3*(D10-D8*3)*(E10-E8*3)*F8*3</f>
        <v>6257088</v>
      </c>
    </row>
    <row r="9" s="1" customFormat="1" spans="1:20">
      <c r="A9" s="1" t="s">
        <v>28</v>
      </c>
      <c r="B9" s="11">
        <v>0</v>
      </c>
      <c r="C9" s="12">
        <v>1</v>
      </c>
      <c r="D9" s="12">
        <v>1</v>
      </c>
      <c r="E9" s="12">
        <v>1</v>
      </c>
      <c r="F9" s="12">
        <v>1</v>
      </c>
      <c r="H9" s="33" t="s">
        <v>29</v>
      </c>
      <c r="I9" s="39">
        <f>(B3+B9)*(C3+C9)*(D3+D9)*(E3+E9)*(F3+F9)</f>
        <v>2160585</v>
      </c>
      <c r="J9" s="40">
        <v>40</v>
      </c>
      <c r="K9" s="41">
        <f t="shared" si="0"/>
        <v>0.00087819473904778</v>
      </c>
      <c r="L9" s="42">
        <f t="shared" si="1"/>
        <v>1.3389724291324</v>
      </c>
      <c r="M9" s="40">
        <f t="shared" si="2"/>
        <v>86423400</v>
      </c>
      <c r="O9" s="51" t="s">
        <v>16</v>
      </c>
      <c r="P9" s="51" t="s">
        <v>16</v>
      </c>
      <c r="Q9" s="51" t="s">
        <v>15</v>
      </c>
      <c r="R9" s="51" t="s">
        <v>15</v>
      </c>
      <c r="S9" s="51" t="s">
        <v>16</v>
      </c>
      <c r="T9" s="18">
        <f>(B10-B8*3)*(C10-C8*3)*D8*3*E8*3*(F10-F8*3)</f>
        <v>6249744</v>
      </c>
    </row>
    <row r="10" s="1" customFormat="1" spans="1:20">
      <c r="A10" s="13" t="s">
        <v>30</v>
      </c>
      <c r="B10" s="14">
        <f t="shared" ref="B10:F10" si="3">SUM(B2:B9)</f>
        <v>74</v>
      </c>
      <c r="C10" s="14">
        <f t="shared" si="3"/>
        <v>72</v>
      </c>
      <c r="D10" s="14">
        <f t="shared" si="3"/>
        <v>78</v>
      </c>
      <c r="E10" s="14">
        <f t="shared" si="3"/>
        <v>74</v>
      </c>
      <c r="F10" s="14">
        <f t="shared" si="3"/>
        <v>80</v>
      </c>
      <c r="H10" s="33" t="s">
        <v>31</v>
      </c>
      <c r="I10" s="39">
        <f>(B4+B9)*(C4+C9)*(D4+D9)*(E10-E4-E9)*F10</f>
        <v>9896640</v>
      </c>
      <c r="J10" s="40">
        <v>5</v>
      </c>
      <c r="K10" s="41">
        <f t="shared" si="0"/>
        <v>0.00402260368476585</v>
      </c>
      <c r="L10" s="42">
        <f t="shared" si="1"/>
        <v>0.0658910336951452</v>
      </c>
      <c r="M10" s="40">
        <f t="shared" si="2"/>
        <v>49483200</v>
      </c>
      <c r="O10" s="51" t="s">
        <v>16</v>
      </c>
      <c r="P10" s="51" t="s">
        <v>16</v>
      </c>
      <c r="Q10" s="51" t="s">
        <v>15</v>
      </c>
      <c r="R10" s="51" t="s">
        <v>16</v>
      </c>
      <c r="S10" s="51" t="s">
        <v>15</v>
      </c>
      <c r="T10" s="18">
        <f>(B10-B8*3)*(C10-C8*3)*D8*3*(E10-E8*3)*F8*3</f>
        <v>11992752</v>
      </c>
    </row>
    <row r="11" s="1" customFormat="1" spans="3:20">
      <c r="C11" s="2"/>
      <c r="D11" s="2"/>
      <c r="E11" s="2"/>
      <c r="F11" s="2"/>
      <c r="H11" s="33" t="s">
        <v>32</v>
      </c>
      <c r="I11" s="39">
        <f>(B4+B9)*(C4+C9)*(D4+D9)*(E4+E9)*(F10-F4-F9)</f>
        <v>1766388</v>
      </c>
      <c r="J11" s="40">
        <v>75</v>
      </c>
      <c r="K11" s="41">
        <f t="shared" si="0"/>
        <v>0.000717968813408003</v>
      </c>
      <c r="L11" s="42">
        <f t="shared" si="1"/>
        <v>3.93661909067324</v>
      </c>
      <c r="M11" s="40">
        <f t="shared" si="2"/>
        <v>132479100</v>
      </c>
      <c r="O11" s="18" t="s">
        <v>16</v>
      </c>
      <c r="P11" s="18" t="s">
        <v>16</v>
      </c>
      <c r="Q11" s="18" t="s">
        <v>16</v>
      </c>
      <c r="R11" s="51" t="s">
        <v>15</v>
      </c>
      <c r="S11" s="51" t="s">
        <v>15</v>
      </c>
      <c r="T11" s="18">
        <f>(B10-B8*3)*(C10-C8*3)*(D10-D8*3)*E8*3*F8*3</f>
        <v>6080832</v>
      </c>
    </row>
    <row r="12" s="1" customFormat="1" spans="8:13">
      <c r="H12" s="33" t="s">
        <v>33</v>
      </c>
      <c r="I12" s="39">
        <f>(B4+B9)*(C4+C9)*(D4+D9)*(E4+E9)*(F4+F9)</f>
        <v>342732</v>
      </c>
      <c r="J12" s="40">
        <v>150</v>
      </c>
      <c r="K12" s="41">
        <f t="shared" si="0"/>
        <v>0.00013930738170603</v>
      </c>
      <c r="L12" s="42">
        <f t="shared" si="1"/>
        <v>3.09472481833852</v>
      </c>
      <c r="M12" s="40">
        <f t="shared" si="2"/>
        <v>51409800</v>
      </c>
    </row>
    <row r="13" s="1" customFormat="1" spans="8:20">
      <c r="H13" s="33" t="s">
        <v>34</v>
      </c>
      <c r="I13" s="39">
        <f>(B5+B9)*(C5+C9)*(D5+D9)*(E10-E5-E9)*F10</f>
        <v>6098400</v>
      </c>
      <c r="J13" s="40">
        <v>5</v>
      </c>
      <c r="K13" s="41">
        <f t="shared" si="0"/>
        <v>0.00247876514768407</v>
      </c>
      <c r="L13" s="42">
        <f t="shared" si="1"/>
        <v>0.0406026570519362</v>
      </c>
      <c r="M13" s="40">
        <f t="shared" si="2"/>
        <v>30492000</v>
      </c>
      <c r="S13" s="53" t="s">
        <v>30</v>
      </c>
      <c r="T13" s="53">
        <f>SUM(T2:T11)</f>
        <v>79447752</v>
      </c>
    </row>
    <row r="14" s="1" customFormat="1" spans="8:20">
      <c r="H14" s="33" t="s">
        <v>35</v>
      </c>
      <c r="I14" s="39">
        <f>(B5+B9)*(C5+C9)*(D5+D9)*(E5+E9)*(F10-F5-F9)</f>
        <v>918390</v>
      </c>
      <c r="J14" s="40">
        <v>75</v>
      </c>
      <c r="K14" s="41">
        <f t="shared" si="0"/>
        <v>0.00037329022759766</v>
      </c>
      <c r="L14" s="42">
        <f t="shared" si="1"/>
        <v>2.0467482833236</v>
      </c>
      <c r="M14" s="40">
        <f t="shared" si="2"/>
        <v>68879250</v>
      </c>
      <c r="O14" s="50" t="s">
        <v>36</v>
      </c>
      <c r="P14" s="50"/>
      <c r="Q14" s="50"/>
      <c r="R14" s="50"/>
      <c r="S14" s="50"/>
      <c r="T14" s="50" t="s">
        <v>7</v>
      </c>
    </row>
    <row r="15" s="1" customFormat="1" spans="8:20">
      <c r="H15" s="33" t="s">
        <v>37</v>
      </c>
      <c r="I15" s="39">
        <f>(B5+B9)*(C5+C9)*(D5+D9)*(E5+E9)*(F5+F9)</f>
        <v>146410</v>
      </c>
      <c r="J15" s="40">
        <v>150</v>
      </c>
      <c r="K15" s="41">
        <f t="shared" si="0"/>
        <v>5.95100362836849e-5</v>
      </c>
      <c r="L15" s="42">
        <f t="shared" si="1"/>
        <v>1.32202029764639</v>
      </c>
      <c r="M15" s="40">
        <f t="shared" si="2"/>
        <v>21961500</v>
      </c>
      <c r="O15" s="51" t="s">
        <v>15</v>
      </c>
      <c r="P15" s="51" t="s">
        <v>15</v>
      </c>
      <c r="Q15" s="51" t="s">
        <v>15</v>
      </c>
      <c r="R15" s="51" t="s">
        <v>16</v>
      </c>
      <c r="S15" s="51" t="s">
        <v>16</v>
      </c>
      <c r="T15" s="18">
        <f>B8*3*C8*3*D8*3*(E10-E8*3)*(F10-F8*3)</f>
        <v>567432</v>
      </c>
    </row>
    <row r="16" s="2" customFormat="1" spans="3:20">
      <c r="C16" s="1"/>
      <c r="D16" s="1"/>
      <c r="E16" s="1"/>
      <c r="F16" s="1"/>
      <c r="H16" s="33" t="s">
        <v>38</v>
      </c>
      <c r="I16" s="39">
        <f>(B6+B9)*(C6+C9)*(D6+D9)*(E10-E6-E9)*F10</f>
        <v>4608000</v>
      </c>
      <c r="J16" s="40">
        <v>12</v>
      </c>
      <c r="K16" s="41">
        <f t="shared" si="0"/>
        <v>0.00187297484594782</v>
      </c>
      <c r="L16" s="42">
        <f t="shared" si="1"/>
        <v>0.228580904393478</v>
      </c>
      <c r="M16" s="40">
        <f t="shared" si="2"/>
        <v>55296000</v>
      </c>
      <c r="O16" s="51" t="s">
        <v>15</v>
      </c>
      <c r="P16" s="51" t="s">
        <v>15</v>
      </c>
      <c r="Q16" s="51" t="s">
        <v>16</v>
      </c>
      <c r="R16" s="51" t="s">
        <v>15</v>
      </c>
      <c r="S16" s="51" t="s">
        <v>16</v>
      </c>
      <c r="T16" s="18">
        <f>B8*3*C8*3*(D10-D8*3)*E8*3*(F10-F8*3)</f>
        <v>287712</v>
      </c>
    </row>
    <row r="17" s="2" customFormat="1" spans="3:20">
      <c r="C17" s="1"/>
      <c r="D17" s="1"/>
      <c r="E17" s="1"/>
      <c r="F17" s="1"/>
      <c r="H17" s="33" t="s">
        <v>39</v>
      </c>
      <c r="I17" s="39">
        <f>(B6+B9)*(C6+C9)*(D6+D9)*(E6+E9)*(F10-F6-F9)</f>
        <v>630000</v>
      </c>
      <c r="J17" s="40">
        <v>120</v>
      </c>
      <c r="K17" s="41">
        <f t="shared" si="0"/>
        <v>0.000256070779719428</v>
      </c>
      <c r="L17" s="42">
        <f t="shared" si="1"/>
        <v>3.62909824607057</v>
      </c>
      <c r="M17" s="40">
        <f t="shared" si="2"/>
        <v>75600000</v>
      </c>
      <c r="O17" s="51" t="s">
        <v>15</v>
      </c>
      <c r="P17" s="51" t="s">
        <v>16</v>
      </c>
      <c r="Q17" s="51" t="s">
        <v>15</v>
      </c>
      <c r="R17" s="51" t="s">
        <v>15</v>
      </c>
      <c r="S17" s="51" t="s">
        <v>16</v>
      </c>
      <c r="T17" s="18">
        <f>B8*3*(C10-C8*3)*D8*3*E8*3*(F10-F8*3)</f>
        <v>551448</v>
      </c>
    </row>
    <row r="18" s="1" customFormat="1" spans="1:20">
      <c r="A18" s="15" t="s">
        <v>40</v>
      </c>
      <c r="B18" s="10"/>
      <c r="H18" s="33" t="s">
        <v>41</v>
      </c>
      <c r="I18" s="39">
        <f>(B6+B9)*(C6+C9)*(D6+D9)*(E6+E9)*(F6+F9)</f>
        <v>90000</v>
      </c>
      <c r="J18" s="40">
        <v>200</v>
      </c>
      <c r="K18" s="41">
        <f t="shared" si="0"/>
        <v>3.65815399599183e-5</v>
      </c>
      <c r="L18" s="42">
        <f t="shared" si="1"/>
        <v>1.44935351261022</v>
      </c>
      <c r="M18" s="40">
        <f t="shared" si="2"/>
        <v>18000000</v>
      </c>
      <c r="O18" s="51" t="s">
        <v>16</v>
      </c>
      <c r="P18" s="51" t="s">
        <v>15</v>
      </c>
      <c r="Q18" s="51" t="s">
        <v>15</v>
      </c>
      <c r="R18" s="51" t="s">
        <v>15</v>
      </c>
      <c r="S18" s="51" t="s">
        <v>16</v>
      </c>
      <c r="T18" s="18">
        <f>(B10-B8*3)*C8*3*D8*3*E8*3*(F10-F8*3)</f>
        <v>271728</v>
      </c>
    </row>
    <row r="19" s="1" customFormat="1" spans="1:20">
      <c r="A19" s="6" t="s">
        <v>42</v>
      </c>
      <c r="B19" s="7" t="s">
        <v>43</v>
      </c>
      <c r="H19" s="33" t="s">
        <v>44</v>
      </c>
      <c r="I19" s="39">
        <f>(B7+B9)*(C7+C9)*(D7+D9)*(E10-E7-E9)*F10</f>
        <v>1528800</v>
      </c>
      <c r="J19" s="40">
        <v>12</v>
      </c>
      <c r="K19" s="41">
        <f t="shared" si="0"/>
        <v>0.000621398425452479</v>
      </c>
      <c r="L19" s="42">
        <f t="shared" si="1"/>
        <v>0.0758364771347113</v>
      </c>
      <c r="M19" s="40">
        <f t="shared" si="2"/>
        <v>18345600</v>
      </c>
      <c r="O19" s="51" t="s">
        <v>15</v>
      </c>
      <c r="P19" s="51" t="s">
        <v>15</v>
      </c>
      <c r="Q19" s="51" t="s">
        <v>16</v>
      </c>
      <c r="R19" s="51" t="s">
        <v>16</v>
      </c>
      <c r="S19" s="51" t="s">
        <v>15</v>
      </c>
      <c r="T19" s="18">
        <f>B8*3*C8*3*(D10-D8*3)*(E10-E8*3)*F8*3</f>
        <v>552096</v>
      </c>
    </row>
    <row r="20" s="1" customFormat="1" spans="1:20">
      <c r="A20" s="16" t="s">
        <v>45</v>
      </c>
      <c r="B20" s="17">
        <f>M26/(B25)</f>
        <v>0.952754611907906</v>
      </c>
      <c r="H20" s="33" t="s">
        <v>46</v>
      </c>
      <c r="I20" s="39">
        <f>(B7+B9)*(C7+C9)*(D7+D9)*(E7+E9)*(F10-F7-F9)</f>
        <v>193158</v>
      </c>
      <c r="J20" s="40">
        <v>120</v>
      </c>
      <c r="K20" s="41">
        <f t="shared" si="0"/>
        <v>7.85113010619767e-5</v>
      </c>
      <c r="L20" s="42">
        <f t="shared" si="1"/>
        <v>1.11268152224524</v>
      </c>
      <c r="M20" s="40">
        <f t="shared" si="2"/>
        <v>23178960</v>
      </c>
      <c r="O20" s="51" t="s">
        <v>15</v>
      </c>
      <c r="P20" s="51" t="s">
        <v>16</v>
      </c>
      <c r="Q20" s="51" t="s">
        <v>15</v>
      </c>
      <c r="R20" s="51" t="s">
        <v>16</v>
      </c>
      <c r="S20" s="51" t="s">
        <v>15</v>
      </c>
      <c r="T20" s="52">
        <f>B8*3*(C10-C8*3)*D8*3*(E10-E8*3)*F8*3</f>
        <v>1058184</v>
      </c>
    </row>
    <row r="21" s="1" customFormat="1" spans="1:20">
      <c r="A21" s="18" t="s">
        <v>47</v>
      </c>
      <c r="B21" s="19">
        <f>B25/I26</f>
        <v>6.303023843844</v>
      </c>
      <c r="H21" s="33" t="s">
        <v>48</v>
      </c>
      <c r="I21" s="39">
        <f>(B7+B9)*(C7+C9)*(D7+D9)*(E7+E9)*(F7+F9)</f>
        <v>18522</v>
      </c>
      <c r="J21" s="40">
        <v>200</v>
      </c>
      <c r="K21" s="41">
        <f t="shared" si="0"/>
        <v>7.52848092375119e-6</v>
      </c>
      <c r="L21" s="42">
        <f t="shared" si="1"/>
        <v>0.298276952895183</v>
      </c>
      <c r="M21" s="40">
        <f t="shared" si="2"/>
        <v>3704400</v>
      </c>
      <c r="O21" s="51" t="s">
        <v>16</v>
      </c>
      <c r="P21" s="51" t="s">
        <v>15</v>
      </c>
      <c r="Q21" s="51" t="s">
        <v>15</v>
      </c>
      <c r="R21" s="51" t="s">
        <v>16</v>
      </c>
      <c r="S21" s="51" t="s">
        <v>15</v>
      </c>
      <c r="T21" s="18">
        <f>(B10-B8*3)*C8*3*D8*3*(E10-E8*3)*F8*3</f>
        <v>521424</v>
      </c>
    </row>
    <row r="22" s="1" customFormat="1" spans="1:20">
      <c r="A22" s="18" t="s">
        <v>49</v>
      </c>
      <c r="B22" s="20">
        <f>L26</f>
        <v>44.6933161839727</v>
      </c>
      <c r="H22" s="33" t="s">
        <v>50</v>
      </c>
      <c r="I22" s="43">
        <f>T13</f>
        <v>79447752</v>
      </c>
      <c r="J22" s="44">
        <v>5</v>
      </c>
      <c r="K22" s="41">
        <f t="shared" si="0"/>
        <v>0.0322924568279298</v>
      </c>
      <c r="L22" s="42">
        <f t="shared" si="1"/>
        <v>0.528956747344103</v>
      </c>
      <c r="M22" s="40">
        <f t="shared" si="2"/>
        <v>397238760</v>
      </c>
      <c r="O22" s="51" t="s">
        <v>15</v>
      </c>
      <c r="P22" s="51" t="s">
        <v>16</v>
      </c>
      <c r="Q22" s="51" t="s">
        <v>16</v>
      </c>
      <c r="R22" s="51" t="s">
        <v>15</v>
      </c>
      <c r="S22" s="51" t="s">
        <v>15</v>
      </c>
      <c r="T22" s="18">
        <f>B8*3*(C10-C8*3)*(D10-D8*3)*E8*3*F8*3</f>
        <v>536544</v>
      </c>
    </row>
    <row r="23" s="1" customFormat="1" spans="1:20">
      <c r="A23" s="21" t="s">
        <v>51</v>
      </c>
      <c r="B23" s="20">
        <f>SQRT(B22)</f>
        <v>6.68530599030237</v>
      </c>
      <c r="H23" s="33" t="s">
        <v>52</v>
      </c>
      <c r="I23" s="39">
        <f>T26</f>
        <v>5117688</v>
      </c>
      <c r="J23" s="40">
        <v>50</v>
      </c>
      <c r="K23" s="41">
        <f t="shared" si="0"/>
        <v>0.00208014342304883</v>
      </c>
      <c r="L23" s="42">
        <f t="shared" si="1"/>
        <v>5.0040601658482</v>
      </c>
      <c r="M23" s="40">
        <f t="shared" si="2"/>
        <v>255884400</v>
      </c>
      <c r="O23" s="51" t="s">
        <v>16</v>
      </c>
      <c r="P23" s="51" t="s">
        <v>15</v>
      </c>
      <c r="Q23" s="51" t="s">
        <v>16</v>
      </c>
      <c r="R23" s="51" t="s">
        <v>15</v>
      </c>
      <c r="S23" s="51" t="s">
        <v>15</v>
      </c>
      <c r="T23" s="18">
        <f>(B10-B8*3)*C8*3*(D10-D8*3)*E8*3*F8*3</f>
        <v>264384</v>
      </c>
    </row>
    <row r="24" s="1" customFormat="1" spans="1:20">
      <c r="A24" s="22" t="s">
        <v>53</v>
      </c>
      <c r="B24" s="19">
        <f>1.96*B23</f>
        <v>13.1031997409926</v>
      </c>
      <c r="H24" s="33" t="s">
        <v>54</v>
      </c>
      <c r="I24" s="43">
        <f>T34</f>
        <v>160056</v>
      </c>
      <c r="J24" s="44">
        <v>500</v>
      </c>
      <c r="K24" s="41">
        <f t="shared" si="0"/>
        <v>6.50566106647188e-5</v>
      </c>
      <c r="L24" s="42">
        <f t="shared" si="1"/>
        <v>16.2022287349094</v>
      </c>
      <c r="M24" s="40">
        <f t="shared" si="2"/>
        <v>80028000</v>
      </c>
      <c r="O24" s="51" t="s">
        <v>16</v>
      </c>
      <c r="P24" s="51" t="s">
        <v>16</v>
      </c>
      <c r="Q24" s="51" t="s">
        <v>15</v>
      </c>
      <c r="R24" s="51" t="s">
        <v>15</v>
      </c>
      <c r="S24" s="51" t="s">
        <v>15</v>
      </c>
      <c r="T24" s="18">
        <f>(B10-B8*3)*(C10-C8*3)*D8*3*E8*3*F8*3</f>
        <v>506736</v>
      </c>
    </row>
    <row r="25" s="1" customFormat="1" spans="1:18">
      <c r="A25" s="23" t="s">
        <v>55</v>
      </c>
      <c r="B25" s="24">
        <f>B10*C10*D10*E10*F10</f>
        <v>2460257280</v>
      </c>
      <c r="H25" s="33" t="s">
        <v>56</v>
      </c>
      <c r="I25" s="43">
        <f>T38</f>
        <v>1944</v>
      </c>
      <c r="J25" s="44">
        <v>1000</v>
      </c>
      <c r="K25" s="41">
        <f t="shared" si="0"/>
        <v>7.90161263134236e-7</v>
      </c>
      <c r="L25" s="42">
        <f t="shared" si="1"/>
        <v>0.788656320821084</v>
      </c>
      <c r="M25" s="40">
        <f t="shared" si="2"/>
        <v>1944000</v>
      </c>
      <c r="O25" s="18"/>
      <c r="P25" s="18"/>
      <c r="Q25" s="18"/>
      <c r="R25" s="18"/>
    </row>
    <row r="26" s="1" customFormat="1" spans="8:20">
      <c r="H26" s="34" t="s">
        <v>30</v>
      </c>
      <c r="I26" s="45">
        <f t="shared" ref="I26:M26" si="4">SUM(I2:I25)</f>
        <v>390329680</v>
      </c>
      <c r="J26" s="46">
        <f t="shared" si="4"/>
        <v>2811</v>
      </c>
      <c r="K26" s="47">
        <f t="shared" si="4"/>
        <v>0.158654008738468</v>
      </c>
      <c r="L26" s="47">
        <f t="shared" si="4"/>
        <v>44.6933161839727</v>
      </c>
      <c r="M26" s="46">
        <f t="shared" si="4"/>
        <v>2344021470</v>
      </c>
      <c r="O26" s="18"/>
      <c r="P26" s="18"/>
      <c r="Q26" s="18"/>
      <c r="R26" s="18"/>
      <c r="S26" s="53" t="s">
        <v>30</v>
      </c>
      <c r="T26" s="53">
        <f>SUM(T15:T24)</f>
        <v>5117688</v>
      </c>
    </row>
    <row r="27" s="1" customFormat="1" spans="8:20">
      <c r="H27" s="3"/>
      <c r="I27" s="4"/>
      <c r="K27" s="5"/>
      <c r="L27" s="5"/>
      <c r="O27" s="50" t="s">
        <v>57</v>
      </c>
      <c r="P27" s="50"/>
      <c r="Q27" s="50"/>
      <c r="R27" s="50"/>
      <c r="S27" s="50"/>
      <c r="T27" s="50" t="s">
        <v>7</v>
      </c>
    </row>
    <row r="28" s="1" customFormat="1" spans="8:20">
      <c r="H28" s="3"/>
      <c r="I28" s="4"/>
      <c r="K28" s="5"/>
      <c r="L28" s="5"/>
      <c r="O28" s="18" t="s">
        <v>15</v>
      </c>
      <c r="P28" s="18" t="s">
        <v>15</v>
      </c>
      <c r="Q28" s="18" t="s">
        <v>15</v>
      </c>
      <c r="R28" s="18" t="s">
        <v>15</v>
      </c>
      <c r="S28" s="18" t="s">
        <v>16</v>
      </c>
      <c r="T28" s="18">
        <f>B8*3*C8*3*D8*3*E8*3*(F10-F8*3)</f>
        <v>23976</v>
      </c>
    </row>
    <row r="29" s="1" customFormat="1" spans="6:20">
      <c r="F29" s="35"/>
      <c r="H29" s="3"/>
      <c r="I29" s="4"/>
      <c r="K29" s="5"/>
      <c r="L29" s="5"/>
      <c r="O29" s="18" t="s">
        <v>15</v>
      </c>
      <c r="P29" s="18" t="s">
        <v>15</v>
      </c>
      <c r="Q29" s="18" t="s">
        <v>15</v>
      </c>
      <c r="R29" s="18" t="s">
        <v>16</v>
      </c>
      <c r="S29" s="18" t="s">
        <v>15</v>
      </c>
      <c r="T29" s="52">
        <f>B8*3*C8*3*D8*3*(E10-E8*3)*F8*3</f>
        <v>46008</v>
      </c>
    </row>
    <row r="30" s="1" customFormat="1" spans="8:20">
      <c r="H30" s="3"/>
      <c r="I30" s="4"/>
      <c r="K30" s="5"/>
      <c r="L30" s="5"/>
      <c r="O30" s="18" t="s">
        <v>15</v>
      </c>
      <c r="P30" s="18" t="s">
        <v>15</v>
      </c>
      <c r="Q30" s="18" t="s">
        <v>16</v>
      </c>
      <c r="R30" s="18" t="s">
        <v>15</v>
      </c>
      <c r="S30" s="18" t="s">
        <v>15</v>
      </c>
      <c r="T30" s="18">
        <f>B8*3*C8*3*(D10-D8*3)*E8*3*F8*3</f>
        <v>23328</v>
      </c>
    </row>
    <row r="31" s="1" customFormat="1" spans="1:20">
      <c r="A31" s="25" t="s">
        <v>58</v>
      </c>
      <c r="B31" s="26"/>
      <c r="C31" s="27"/>
      <c r="D31" s="28"/>
      <c r="E31" s="28"/>
      <c r="F31" s="27"/>
      <c r="H31" s="3"/>
      <c r="I31" s="4"/>
      <c r="K31" s="5"/>
      <c r="L31" s="5"/>
      <c r="O31" s="18" t="s">
        <v>15</v>
      </c>
      <c r="P31" s="18" t="s">
        <v>16</v>
      </c>
      <c r="Q31" s="18" t="s">
        <v>15</v>
      </c>
      <c r="R31" s="18" t="s">
        <v>15</v>
      </c>
      <c r="S31" s="18" t="s">
        <v>15</v>
      </c>
      <c r="T31" s="52">
        <f>B8*3*(C10-C8*3)*D8*3*E8*3*F8*3</f>
        <v>44712</v>
      </c>
    </row>
    <row r="32" s="1" customFormat="1" spans="1:20">
      <c r="A32" s="29"/>
      <c r="B32" s="12"/>
      <c r="C32" s="1"/>
      <c r="D32" s="5"/>
      <c r="E32" s="5"/>
      <c r="H32" s="3"/>
      <c r="I32" s="4"/>
      <c r="K32" s="5"/>
      <c r="L32" s="5"/>
      <c r="O32" s="18" t="s">
        <v>16</v>
      </c>
      <c r="P32" s="18" t="s">
        <v>15</v>
      </c>
      <c r="Q32" s="18" t="s">
        <v>15</v>
      </c>
      <c r="R32" s="18" t="s">
        <v>15</v>
      </c>
      <c r="S32" s="18" t="s">
        <v>15</v>
      </c>
      <c r="T32" s="18">
        <f>(B10-B8*3)*C8*3*D8*3*E8*3*F8*3</f>
        <v>22032</v>
      </c>
    </row>
    <row r="33" s="1" customFormat="1" spans="1:18">
      <c r="A33" s="30" t="s">
        <v>59</v>
      </c>
      <c r="B33" s="30"/>
      <c r="C33" s="30"/>
      <c r="D33" s="30"/>
      <c r="E33" s="30"/>
      <c r="F33" s="30"/>
      <c r="G33" s="30"/>
      <c r="H33" s="25"/>
      <c r="I33" s="48"/>
      <c r="K33" s="5"/>
      <c r="L33" s="5"/>
      <c r="O33" s="18"/>
      <c r="P33" s="18"/>
      <c r="Q33" s="18"/>
      <c r="R33" s="18"/>
    </row>
    <row r="34" s="1" customFormat="1" spans="8:20">
      <c r="H34" s="3"/>
      <c r="I34" s="4"/>
      <c r="K34" s="5"/>
      <c r="L34" s="5"/>
      <c r="S34" s="53" t="s">
        <v>30</v>
      </c>
      <c r="T34" s="53">
        <f>SUM(T28:T32)</f>
        <v>160056</v>
      </c>
    </row>
    <row r="35" s="1" customFormat="1" spans="1:20">
      <c r="A35" s="30" t="s">
        <v>60</v>
      </c>
      <c r="B35" s="30"/>
      <c r="C35" s="30"/>
      <c r="D35" s="31"/>
      <c r="E35" s="31"/>
      <c r="F35" s="31"/>
      <c r="G35" s="31"/>
      <c r="H35" s="29"/>
      <c r="I35" s="49"/>
      <c r="K35" s="5"/>
      <c r="L35" s="5"/>
      <c r="O35" s="50" t="s">
        <v>61</v>
      </c>
      <c r="P35" s="50"/>
      <c r="Q35" s="50"/>
      <c r="R35" s="50"/>
      <c r="S35" s="50"/>
      <c r="T35" s="50" t="s">
        <v>7</v>
      </c>
    </row>
    <row r="36" s="1" customFormat="1" spans="8:20">
      <c r="H36" s="3"/>
      <c r="I36" s="4"/>
      <c r="K36" s="5"/>
      <c r="L36" s="5"/>
      <c r="O36" s="18" t="s">
        <v>15</v>
      </c>
      <c r="P36" s="18" t="s">
        <v>15</v>
      </c>
      <c r="Q36" s="18" t="s">
        <v>15</v>
      </c>
      <c r="R36" s="18" t="s">
        <v>15</v>
      </c>
      <c r="S36" s="18" t="s">
        <v>15</v>
      </c>
      <c r="T36" s="18">
        <f>B8*3*C8*3*D8*3*E8*3*F8*3</f>
        <v>1944</v>
      </c>
    </row>
    <row r="37" s="1" customFormat="1" spans="1:18">
      <c r="A37" s="30" t="s">
        <v>62</v>
      </c>
      <c r="B37" s="30"/>
      <c r="C37" s="30"/>
      <c r="D37" s="31"/>
      <c r="H37" s="3"/>
      <c r="I37" s="4"/>
      <c r="K37" s="5"/>
      <c r="L37" s="5"/>
      <c r="O37" s="18"/>
      <c r="P37" s="18"/>
      <c r="Q37" s="18"/>
      <c r="R37" s="18"/>
    </row>
    <row r="38" s="1" customFormat="1" spans="8:20">
      <c r="H38" s="3"/>
      <c r="I38" s="4"/>
      <c r="K38" s="5"/>
      <c r="L38" s="5"/>
      <c r="O38" s="18"/>
      <c r="P38" s="18"/>
      <c r="Q38" s="18"/>
      <c r="R38" s="18"/>
      <c r="S38" s="53" t="s">
        <v>30</v>
      </c>
      <c r="T38" s="53">
        <f>SUM(T36)</f>
        <v>1944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arseniumn</dc:creator>
  <dcterms:created xsi:type="dcterms:W3CDTF">2020-12-09T21:36:30Z</dcterms:created>
  <dcterms:modified xsi:type="dcterms:W3CDTF">2020-12-09T21:37:26Z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1033-3.0.0.4876</vt:lpwstr>
  </property>
</Properties>
</file>