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charts/chart3.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4.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5.xml" ContentType="application/vnd.openxmlformats-officedocument.drawingml.chart+xml"/>
  <Override PartName="/xl/drawings/drawing9.xml" ContentType="application/vnd.openxmlformats-officedocument.drawing+xml"/>
  <Override PartName="/xl/charts/chart6.xml" ContentType="application/vnd.openxmlformats-officedocument.drawingml.chart+xml"/>
  <Override PartName="/xl/drawings/drawing10.xml" ContentType="application/vnd.openxmlformats-officedocument.drawing+xml"/>
  <Override PartName="/xl/charts/chart7.xml" ContentType="application/vnd.openxmlformats-officedocument.drawingml.chart+xml"/>
  <Override PartName="/xl/drawings/drawing11.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admin/Desktop/Courses and Projects (FInance &amp; Data Science )/Job Hunting &amp; Portfolio Projects/Ashgabat/Projects for CV/Financial Analyst/Project 1 Fundamental Analysis of Emaar Properties PJSC using DCF and Multiples Valuation/"/>
    </mc:Choice>
  </mc:AlternateContent>
  <xr:revisionPtr revIDLastSave="0" documentId="13_ncr:1_{35DC5DD9-4EDC-014E-91E0-758CCBC2CDDB}" xr6:coauthVersionLast="47" xr6:coauthVersionMax="47" xr10:uidLastSave="{00000000-0000-0000-0000-000000000000}"/>
  <bookViews>
    <workbookView xWindow="0" yWindow="500" windowWidth="28800" windowHeight="16580" xr2:uid="{9220FE13-073F-4241-9DB0-BDA00FD1E26F}"/>
  </bookViews>
  <sheets>
    <sheet name="Index" sheetId="1" r:id="rId1"/>
    <sheet name="1) Sources --&gt;" sheetId="17" r:id="rId2"/>
    <sheet name="P&amp;L source" sheetId="18" r:id="rId3"/>
    <sheet name="BS source" sheetId="19" r:id="rId4"/>
    <sheet name="CF source" sheetId="20" r:id="rId5"/>
    <sheet name="2) 3 Statement model --&gt;" sheetId="3" r:id="rId6"/>
    <sheet name="Assumptions" sheetId="4" r:id="rId7"/>
    <sheet name="P&amp;L and BS" sheetId="7" r:id="rId8"/>
    <sheet name="Cash Flow" sheetId="9" r:id="rId9"/>
    <sheet name="3) DCF Model--&gt;" sheetId="6" r:id="rId10"/>
    <sheet name="DCF valuation" sheetId="10" r:id="rId11"/>
    <sheet name="DCF results" sheetId="16" r:id="rId12"/>
    <sheet name="4) Charts  --&gt;" sheetId="11" r:id="rId13"/>
    <sheet name="Revenues&amp;Ebitda" sheetId="12" r:id="rId14"/>
    <sheet name="Cash flows" sheetId="13" r:id="rId15"/>
    <sheet name="Ebitda bridge" sheetId="14" r:id="rId16"/>
    <sheet name="Working capital" sheetId="1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13" i="1" l="1"/>
  <c r="B14" i="1"/>
  <c r="B15" i="1"/>
  <c r="B16" i="1"/>
  <c r="B17" i="1"/>
  <c r="B18" i="1"/>
  <c r="B19" i="1"/>
  <c r="B20" i="1"/>
  <c r="F11" i="15"/>
  <c r="F10" i="15"/>
  <c r="F9" i="15"/>
  <c r="C3" i="14"/>
  <c r="D5" i="12" l="1"/>
  <c r="E5" i="12"/>
  <c r="F5" i="12"/>
  <c r="C5" i="12"/>
  <c r="D4" i="12"/>
  <c r="E4" i="12"/>
  <c r="F4" i="12"/>
  <c r="C4" i="12"/>
  <c r="D46" i="9"/>
  <c r="D39" i="9"/>
  <c r="E8" i="10"/>
  <c r="F8" i="10"/>
  <c r="C20" i="10"/>
  <c r="E46" i="9" l="1"/>
  <c r="F46" i="9"/>
  <c r="E45" i="9" l="1"/>
  <c r="F45" i="9"/>
  <c r="D45" i="9"/>
  <c r="E44" i="9"/>
  <c r="F44" i="9"/>
  <c r="D44" i="9"/>
  <c r="E43" i="9"/>
  <c r="F43" i="9"/>
  <c r="D43" i="9"/>
  <c r="E40" i="9" l="1"/>
  <c r="F41" i="9"/>
  <c r="E41" i="9"/>
  <c r="D41" i="9"/>
  <c r="D8" i="10" s="1"/>
  <c r="D40" i="9"/>
  <c r="E39" i="9"/>
  <c r="F39" i="9"/>
  <c r="G31" i="9"/>
  <c r="E31" i="9"/>
  <c r="D31" i="9"/>
  <c r="F31" i="9"/>
  <c r="G32" i="9"/>
  <c r="D32" i="9"/>
  <c r="E32" i="9"/>
  <c r="F29" i="9"/>
  <c r="G28" i="9"/>
  <c r="H16" i="9"/>
  <c r="I16" i="9"/>
  <c r="J16" i="9"/>
  <c r="K16" i="9"/>
  <c r="G16" i="9"/>
  <c r="F26" i="9"/>
  <c r="F24" i="9"/>
  <c r="K152" i="4"/>
  <c r="K151" i="4" s="1"/>
  <c r="K23" i="9" s="1"/>
  <c r="J152" i="4"/>
  <c r="J151" i="4" s="1"/>
  <c r="J23" i="9" s="1"/>
  <c r="I152" i="4"/>
  <c r="I151" i="4" s="1"/>
  <c r="I23" i="9" s="1"/>
  <c r="H152" i="4"/>
  <c r="H151" i="4" s="1"/>
  <c r="H23" i="9" s="1"/>
  <c r="G152" i="4"/>
  <c r="G151" i="4" s="1"/>
  <c r="G23" i="9" s="1"/>
  <c r="C151" i="4"/>
  <c r="E151" i="4"/>
  <c r="D151" i="4"/>
  <c r="D23" i="9"/>
  <c r="H27" i="9"/>
  <c r="I27" i="9"/>
  <c r="J27" i="9"/>
  <c r="K27" i="9"/>
  <c r="G27" i="9"/>
  <c r="D145" i="4"/>
  <c r="E145" i="4"/>
  <c r="C145" i="4"/>
  <c r="K146" i="4"/>
  <c r="J146" i="4"/>
  <c r="I146" i="4"/>
  <c r="H146" i="4"/>
  <c r="G146" i="4"/>
  <c r="D16" i="9"/>
  <c r="F17" i="9"/>
  <c r="D139" i="4"/>
  <c r="E139" i="4"/>
  <c r="C139" i="4"/>
  <c r="K140" i="4" l="1"/>
  <c r="J140" i="4"/>
  <c r="I140" i="4"/>
  <c r="H140" i="4"/>
  <c r="G140" i="4"/>
  <c r="G139" i="4" s="1"/>
  <c r="H139" i="4" l="1"/>
  <c r="G15" i="9"/>
  <c r="D28" i="9"/>
  <c r="G44" i="9" l="1"/>
  <c r="G17" i="9"/>
  <c r="I139" i="4"/>
  <c r="H15" i="9"/>
  <c r="E27" i="9"/>
  <c r="D27" i="9"/>
  <c r="E26" i="9"/>
  <c r="E23" i="9"/>
  <c r="E22" i="9"/>
  <c r="D22" i="9"/>
  <c r="E21" i="9"/>
  <c r="D21" i="9"/>
  <c r="E20" i="9"/>
  <c r="D20" i="9"/>
  <c r="D24" i="9" s="1"/>
  <c r="E24" i="9"/>
  <c r="E17" i="9"/>
  <c r="D17" i="9"/>
  <c r="E16" i="9"/>
  <c r="E15" i="9"/>
  <c r="D15" i="9"/>
  <c r="H44" i="9" l="1"/>
  <c r="H17" i="9"/>
  <c r="J139" i="4"/>
  <c r="I15" i="9"/>
  <c r="D26" i="9"/>
  <c r="D29" i="9" s="1"/>
  <c r="E28" i="9" s="1"/>
  <c r="E29" i="9" s="1"/>
  <c r="E11" i="9"/>
  <c r="D11" i="9"/>
  <c r="E10" i="9"/>
  <c r="D10" i="9"/>
  <c r="D12" i="9" s="1"/>
  <c r="E9" i="9"/>
  <c r="F9" i="9"/>
  <c r="D9" i="9"/>
  <c r="F12" i="9"/>
  <c r="E12" i="9"/>
  <c r="J15" i="9" l="1"/>
  <c r="K139" i="4"/>
  <c r="K15" i="9" s="1"/>
  <c r="I44" i="9"/>
  <c r="I17" i="9"/>
  <c r="E6" i="9"/>
  <c r="F6" i="9"/>
  <c r="D6" i="9"/>
  <c r="E5" i="9"/>
  <c r="F5" i="9"/>
  <c r="D5" i="9"/>
  <c r="E4" i="9"/>
  <c r="F4" i="9"/>
  <c r="D4" i="9"/>
  <c r="K44" i="9" l="1"/>
  <c r="K17" i="9"/>
  <c r="J17" i="9"/>
  <c r="J44" i="9"/>
  <c r="D44" i="7"/>
  <c r="E44" i="7"/>
  <c r="C44" i="7"/>
  <c r="D35" i="7"/>
  <c r="E35" i="7"/>
  <c r="C35" i="7"/>
  <c r="F43" i="7"/>
  <c r="F42" i="7"/>
  <c r="F41" i="7"/>
  <c r="F40" i="7"/>
  <c r="F39" i="7"/>
  <c r="F38" i="7"/>
  <c r="F6" i="15" s="1"/>
  <c r="F34" i="7"/>
  <c r="F33" i="7"/>
  <c r="F32" i="7"/>
  <c r="F4" i="15" s="1"/>
  <c r="F31" i="7"/>
  <c r="F30" i="7"/>
  <c r="F5" i="15" s="1"/>
  <c r="F45" i="7" l="1"/>
  <c r="F19" i="7"/>
  <c r="F24" i="7" s="1"/>
  <c r="F9" i="7"/>
  <c r="F12" i="7" s="1"/>
  <c r="D22" i="7"/>
  <c r="E22" i="7"/>
  <c r="C22" i="7"/>
  <c r="D18" i="7"/>
  <c r="E18" i="7"/>
  <c r="C18" i="7"/>
  <c r="D15" i="7"/>
  <c r="E15" i="7"/>
  <c r="C15" i="7"/>
  <c r="D14" i="7"/>
  <c r="E14" i="7"/>
  <c r="C14" i="7"/>
  <c r="D11" i="7"/>
  <c r="E11" i="7"/>
  <c r="C11" i="7"/>
  <c r="D8" i="7"/>
  <c r="E8" i="7"/>
  <c r="C8" i="7"/>
  <c r="D5" i="7"/>
  <c r="E5" i="7"/>
  <c r="E6" i="7" s="1"/>
  <c r="E9" i="7" s="1"/>
  <c r="E12" i="7" s="1"/>
  <c r="E16" i="7" s="1"/>
  <c r="E19" i="7" s="1"/>
  <c r="C5" i="7"/>
  <c r="C6" i="7" s="1"/>
  <c r="C9" i="7" s="1"/>
  <c r="C12" i="7" s="1"/>
  <c r="C16" i="7" s="1"/>
  <c r="C19" i="7" s="1"/>
  <c r="C24" i="7" s="1"/>
  <c r="D4" i="7"/>
  <c r="D6" i="7" s="1"/>
  <c r="D9" i="7" s="1"/>
  <c r="D12" i="7" s="1"/>
  <c r="D16" i="7" s="1"/>
  <c r="D19" i="7" s="1"/>
  <c r="E4" i="7"/>
  <c r="C4" i="7"/>
  <c r="D24" i="7" l="1"/>
  <c r="D21" i="7"/>
  <c r="C21" i="7"/>
  <c r="E24" i="7"/>
  <c r="E21" i="7"/>
  <c r="H98" i="4" l="1"/>
  <c r="H11" i="15" s="1"/>
  <c r="I98" i="4"/>
  <c r="I11" i="15" s="1"/>
  <c r="J98" i="4"/>
  <c r="J11" i="15" s="1"/>
  <c r="K98" i="4"/>
  <c r="K11" i="15" s="1"/>
  <c r="K128" i="4" l="1"/>
  <c r="J128" i="4"/>
  <c r="I128" i="4"/>
  <c r="H128" i="4"/>
  <c r="G128" i="4"/>
  <c r="K122" i="4"/>
  <c r="J122" i="4"/>
  <c r="I122" i="4"/>
  <c r="H122" i="4"/>
  <c r="G122" i="4"/>
  <c r="K116" i="4"/>
  <c r="J116" i="4"/>
  <c r="I116" i="4"/>
  <c r="H116" i="4"/>
  <c r="G116" i="4"/>
  <c r="K110" i="4"/>
  <c r="J110" i="4"/>
  <c r="I110" i="4"/>
  <c r="H110" i="4"/>
  <c r="G110" i="4"/>
  <c r="K104" i="4"/>
  <c r="J104" i="4"/>
  <c r="I104" i="4"/>
  <c r="H104" i="4"/>
  <c r="G104" i="4"/>
  <c r="G98" i="4"/>
  <c r="G11" i="15" s="1"/>
  <c r="K92" i="4"/>
  <c r="J92" i="4"/>
  <c r="I92" i="4"/>
  <c r="H92" i="4"/>
  <c r="G92" i="4"/>
  <c r="K86" i="4"/>
  <c r="J86" i="4"/>
  <c r="I86" i="4"/>
  <c r="H86" i="4"/>
  <c r="G86" i="4"/>
  <c r="K80" i="4"/>
  <c r="J80" i="4"/>
  <c r="I80" i="4"/>
  <c r="H80" i="4"/>
  <c r="G80" i="4"/>
  <c r="K74" i="4"/>
  <c r="K10" i="15" s="1"/>
  <c r="J74" i="4"/>
  <c r="J10" i="15" s="1"/>
  <c r="I74" i="4"/>
  <c r="I10" i="15" s="1"/>
  <c r="H74" i="4"/>
  <c r="H10" i="15" s="1"/>
  <c r="G74" i="4"/>
  <c r="G10" i="15" s="1"/>
  <c r="K68" i="4"/>
  <c r="K9" i="15" s="1"/>
  <c r="J68" i="4"/>
  <c r="J9" i="15" s="1"/>
  <c r="I68" i="4"/>
  <c r="I9" i="15" s="1"/>
  <c r="H68" i="4"/>
  <c r="H9" i="15" s="1"/>
  <c r="G68" i="4"/>
  <c r="G9" i="15" s="1"/>
  <c r="D127" i="4" l="1"/>
  <c r="D43" i="7" s="1"/>
  <c r="E127" i="4"/>
  <c r="E43" i="7" s="1"/>
  <c r="C127" i="4"/>
  <c r="C43" i="7" s="1"/>
  <c r="D121" i="4"/>
  <c r="D40" i="7" s="1"/>
  <c r="E121" i="4"/>
  <c r="C121" i="4"/>
  <c r="C40" i="7" s="1"/>
  <c r="D115" i="4"/>
  <c r="D39" i="7" s="1"/>
  <c r="E115" i="4"/>
  <c r="E39" i="7" s="1"/>
  <c r="C115" i="4"/>
  <c r="C39" i="7" s="1"/>
  <c r="D109" i="4"/>
  <c r="D42" i="7" s="1"/>
  <c r="E109" i="4"/>
  <c r="E42" i="7" s="1"/>
  <c r="C109" i="4"/>
  <c r="C42" i="7" s="1"/>
  <c r="D103" i="4"/>
  <c r="D41" i="7" s="1"/>
  <c r="E103" i="4"/>
  <c r="C103" i="4"/>
  <c r="C41" i="7" s="1"/>
  <c r="D97" i="4"/>
  <c r="D38" i="7" s="1"/>
  <c r="E97" i="4"/>
  <c r="E38" i="7" s="1"/>
  <c r="C97" i="4"/>
  <c r="C38" i="7" s="1"/>
  <c r="D91" i="4"/>
  <c r="D34" i="7" s="1"/>
  <c r="E91" i="4"/>
  <c r="E34" i="7" s="1"/>
  <c r="C91" i="4"/>
  <c r="C34" i="7" s="1"/>
  <c r="D85" i="4"/>
  <c r="D33" i="7" s="1"/>
  <c r="E85" i="4"/>
  <c r="E33" i="7" s="1"/>
  <c r="C85" i="4"/>
  <c r="C33" i="7" s="1"/>
  <c r="D79" i="4"/>
  <c r="D31" i="7" s="1"/>
  <c r="E79" i="4"/>
  <c r="E31" i="7" s="1"/>
  <c r="C79" i="4"/>
  <c r="D73" i="4"/>
  <c r="D32" i="7" s="1"/>
  <c r="D4" i="15" s="1"/>
  <c r="E73" i="4"/>
  <c r="E32" i="7" s="1"/>
  <c r="E4" i="15" s="1"/>
  <c r="C73" i="4"/>
  <c r="C32" i="7" s="1"/>
  <c r="C4" i="15" s="1"/>
  <c r="D67" i="4"/>
  <c r="D30" i="7" s="1"/>
  <c r="E67" i="4"/>
  <c r="E30" i="7" s="1"/>
  <c r="C67" i="4"/>
  <c r="C30" i="7" s="1"/>
  <c r="C5" i="15" l="1"/>
  <c r="E6" i="15"/>
  <c r="E5" i="15"/>
  <c r="E36" i="7"/>
  <c r="D5" i="15"/>
  <c r="D36" i="7"/>
  <c r="E122" i="4"/>
  <c r="E40" i="7"/>
  <c r="C19" i="10" s="1"/>
  <c r="C6" i="15"/>
  <c r="C45" i="7"/>
  <c r="G103" i="4"/>
  <c r="G41" i="7" s="1"/>
  <c r="E41" i="7"/>
  <c r="G121" i="4"/>
  <c r="D6" i="15"/>
  <c r="D45" i="7"/>
  <c r="C31" i="7"/>
  <c r="C36" i="7" s="1"/>
  <c r="C47" i="7" s="1"/>
  <c r="G85" i="4"/>
  <c r="E86" i="4"/>
  <c r="H103" i="4"/>
  <c r="H41" i="7" s="1"/>
  <c r="I103" i="4"/>
  <c r="I41" i="7" s="1"/>
  <c r="J103" i="4"/>
  <c r="J41" i="7" s="1"/>
  <c r="K103" i="4"/>
  <c r="K41" i="7" s="1"/>
  <c r="C110" i="4"/>
  <c r="E110" i="4"/>
  <c r="D110" i="4"/>
  <c r="D86" i="4"/>
  <c r="D122" i="4"/>
  <c r="K52" i="4"/>
  <c r="J52" i="4"/>
  <c r="I52" i="4"/>
  <c r="H52" i="4"/>
  <c r="G52" i="4"/>
  <c r="K46" i="4"/>
  <c r="J46" i="4"/>
  <c r="I46" i="4"/>
  <c r="H46" i="4"/>
  <c r="G46" i="4"/>
  <c r="K40" i="4"/>
  <c r="J40" i="4"/>
  <c r="I40" i="4"/>
  <c r="H40" i="4"/>
  <c r="G40" i="4"/>
  <c r="K34" i="4"/>
  <c r="J34" i="4"/>
  <c r="I34" i="4"/>
  <c r="H34" i="4"/>
  <c r="G34" i="4"/>
  <c r="K28" i="4"/>
  <c r="J28" i="4"/>
  <c r="I28" i="4"/>
  <c r="H28" i="4"/>
  <c r="G28" i="4"/>
  <c r="K22" i="4"/>
  <c r="J22" i="4"/>
  <c r="I22" i="4"/>
  <c r="H22" i="4"/>
  <c r="G22" i="4"/>
  <c r="K16" i="4"/>
  <c r="J16" i="4"/>
  <c r="I16" i="4"/>
  <c r="H16" i="4"/>
  <c r="G16" i="4"/>
  <c r="H10" i="4"/>
  <c r="I10" i="4"/>
  <c r="J10" i="4"/>
  <c r="K10" i="4"/>
  <c r="G10" i="4"/>
  <c r="E45" i="7" l="1"/>
  <c r="E47" i="7" s="1"/>
  <c r="D47" i="7"/>
  <c r="G40" i="7"/>
  <c r="G20" i="9" s="1"/>
  <c r="H121" i="4"/>
  <c r="H39" i="4" s="1"/>
  <c r="H15" i="7" s="1"/>
  <c r="H85" i="4"/>
  <c r="G33" i="7"/>
  <c r="G39" i="4"/>
  <c r="G15" i="7" s="1"/>
  <c r="D51" i="4"/>
  <c r="E51" i="4"/>
  <c r="C51" i="4"/>
  <c r="D45" i="4"/>
  <c r="E45" i="4"/>
  <c r="C45" i="4"/>
  <c r="D39" i="4"/>
  <c r="D40" i="4" s="1"/>
  <c r="E39" i="4"/>
  <c r="E40" i="4" s="1"/>
  <c r="C39" i="4"/>
  <c r="D33" i="4"/>
  <c r="E33" i="4"/>
  <c r="C33" i="4"/>
  <c r="D27" i="4"/>
  <c r="E27" i="4"/>
  <c r="C27" i="4"/>
  <c r="H33" i="7" l="1"/>
  <c r="I85" i="4"/>
  <c r="I121" i="4"/>
  <c r="H40" i="7"/>
  <c r="H20" i="9" s="1"/>
  <c r="D46" i="4"/>
  <c r="G45" i="4"/>
  <c r="E46" i="4"/>
  <c r="D21" i="4"/>
  <c r="E21" i="4"/>
  <c r="C21" i="4"/>
  <c r="D15" i="4"/>
  <c r="E15" i="4"/>
  <c r="C15" i="4"/>
  <c r="D9" i="4"/>
  <c r="D140" i="4" s="1"/>
  <c r="E9" i="4"/>
  <c r="E140" i="4" s="1"/>
  <c r="C9" i="4"/>
  <c r="C22" i="4" l="1"/>
  <c r="I40" i="7"/>
  <c r="I20" i="9" s="1"/>
  <c r="I39" i="4"/>
  <c r="I15" i="7" s="1"/>
  <c r="J121" i="4"/>
  <c r="J85" i="4"/>
  <c r="I33" i="7"/>
  <c r="C140" i="4"/>
  <c r="C80" i="4"/>
  <c r="H45" i="4"/>
  <c r="G18" i="7"/>
  <c r="E74" i="4"/>
  <c r="E10" i="15" s="1"/>
  <c r="E98" i="4"/>
  <c r="E11" i="15" s="1"/>
  <c r="C28" i="4"/>
  <c r="C92" i="4"/>
  <c r="C68" i="4"/>
  <c r="C9" i="15" s="1"/>
  <c r="C116" i="4"/>
  <c r="D98" i="4"/>
  <c r="D11" i="15" s="1"/>
  <c r="D74" i="4"/>
  <c r="D10" i="15" s="1"/>
  <c r="E16" i="4"/>
  <c r="E116" i="4"/>
  <c r="E68" i="4"/>
  <c r="E9" i="15" s="1"/>
  <c r="E80" i="4"/>
  <c r="E92" i="4"/>
  <c r="D58" i="4"/>
  <c r="D59" i="4" s="1"/>
  <c r="D60" i="4" s="1"/>
  <c r="D116" i="4"/>
  <c r="D80" i="4"/>
  <c r="D68" i="4"/>
  <c r="D9" i="15" s="1"/>
  <c r="D92" i="4"/>
  <c r="C16" i="4"/>
  <c r="C98" i="4"/>
  <c r="C11" i="15" s="1"/>
  <c r="C74" i="4"/>
  <c r="C10" i="15" s="1"/>
  <c r="D16" i="4"/>
  <c r="E10" i="4"/>
  <c r="D10" i="4"/>
  <c r="D22" i="4"/>
  <c r="G9" i="4"/>
  <c r="E58" i="4"/>
  <c r="E59" i="4" s="1"/>
  <c r="E22" i="4"/>
  <c r="D28" i="4"/>
  <c r="C58" i="4"/>
  <c r="C59" i="4" s="1"/>
  <c r="E28" i="4"/>
  <c r="F58" i="20"/>
  <c r="F60" i="20" s="1"/>
  <c r="K23" i="19"/>
  <c r="K24" i="19" s="1"/>
  <c r="L23" i="19"/>
  <c r="J23" i="19"/>
  <c r="K17" i="19"/>
  <c r="L17" i="19"/>
  <c r="J17" i="19"/>
  <c r="D9" i="19"/>
  <c r="E18" i="19"/>
  <c r="F18" i="19"/>
  <c r="D18" i="19"/>
  <c r="E41" i="18"/>
  <c r="F41" i="18"/>
  <c r="D41" i="18"/>
  <c r="E32" i="18"/>
  <c r="F32" i="18"/>
  <c r="D32" i="18"/>
  <c r="E28" i="18"/>
  <c r="F28" i="18"/>
  <c r="D28" i="18"/>
  <c r="E23" i="18"/>
  <c r="F23" i="18"/>
  <c r="D23" i="18"/>
  <c r="E46" i="18"/>
  <c r="F46" i="18"/>
  <c r="D46" i="18"/>
  <c r="F35" i="18"/>
  <c r="K85" i="4" l="1"/>
  <c r="K33" i="7" s="1"/>
  <c r="J33" i="7"/>
  <c r="J39" i="4"/>
  <c r="J15" i="7" s="1"/>
  <c r="J40" i="7"/>
  <c r="J20" i="9" s="1"/>
  <c r="K121" i="4"/>
  <c r="I45" i="4"/>
  <c r="H18" i="7"/>
  <c r="G4" i="7"/>
  <c r="G91" i="4"/>
  <c r="G34" i="7" s="1"/>
  <c r="G79" i="4"/>
  <c r="G31" i="7" s="1"/>
  <c r="G115" i="4"/>
  <c r="G39" i="7" s="1"/>
  <c r="G67" i="4"/>
  <c r="G30" i="7" s="1"/>
  <c r="G5" i="15" s="1"/>
  <c r="D61" i="4"/>
  <c r="D146" i="4" s="1"/>
  <c r="D128" i="4"/>
  <c r="D52" i="4"/>
  <c r="D34" i="4"/>
  <c r="L24" i="19"/>
  <c r="J24" i="19"/>
  <c r="E60" i="4"/>
  <c r="E128" i="4" s="1"/>
  <c r="E34" i="4"/>
  <c r="H9" i="4"/>
  <c r="G15" i="4"/>
  <c r="G58" i="4" s="1"/>
  <c r="G21" i="4"/>
  <c r="G8" i="7" s="1"/>
  <c r="C6" i="14" s="1"/>
  <c r="G27" i="4"/>
  <c r="G11" i="7" s="1"/>
  <c r="G9" i="9" s="1"/>
  <c r="G43" i="9" s="1"/>
  <c r="C60" i="4"/>
  <c r="C128" i="4" s="1"/>
  <c r="C34" i="4"/>
  <c r="D26" i="19"/>
  <c r="K39" i="4" l="1"/>
  <c r="K15" i="7" s="1"/>
  <c r="K40" i="7"/>
  <c r="K20" i="9" s="1"/>
  <c r="C4" i="14"/>
  <c r="G4" i="12"/>
  <c r="G5" i="7"/>
  <c r="G73" i="4"/>
  <c r="G97" i="4"/>
  <c r="G38" i="7" s="1"/>
  <c r="G6" i="15" s="1"/>
  <c r="H4" i="7"/>
  <c r="H4" i="12" s="1"/>
  <c r="H79" i="4"/>
  <c r="H31" i="7" s="1"/>
  <c r="H67" i="4"/>
  <c r="H30" i="7" s="1"/>
  <c r="H5" i="15" s="1"/>
  <c r="H91" i="4"/>
  <c r="H34" i="7" s="1"/>
  <c r="H115" i="4"/>
  <c r="H39" i="7" s="1"/>
  <c r="J45" i="4"/>
  <c r="I18" i="7"/>
  <c r="C61" i="4"/>
  <c r="C146" i="4" s="1"/>
  <c r="C52" i="4"/>
  <c r="G59" i="4"/>
  <c r="I9" i="4"/>
  <c r="H27" i="4"/>
  <c r="H11" i="7" s="1"/>
  <c r="H9" i="9" s="1"/>
  <c r="H43" i="9" s="1"/>
  <c r="H15" i="4"/>
  <c r="H21" i="4"/>
  <c r="H8" i="7" s="1"/>
  <c r="E61" i="4"/>
  <c r="E146" i="4" s="1"/>
  <c r="E52" i="4"/>
  <c r="F9" i="19"/>
  <c r="F26" i="19" s="1"/>
  <c r="E9" i="19"/>
  <c r="E26" i="19" s="1"/>
  <c r="L8" i="19"/>
  <c r="L10" i="19" s="1"/>
  <c r="L26" i="19" s="1"/>
  <c r="L28" i="19" s="1"/>
  <c r="K8" i="19"/>
  <c r="K10" i="19" s="1"/>
  <c r="K26" i="19" s="1"/>
  <c r="J8" i="19"/>
  <c r="J10" i="19" s="1"/>
  <c r="J26" i="19" s="1"/>
  <c r="E38" i="18"/>
  <c r="D38" i="18"/>
  <c r="F16" i="18"/>
  <c r="E16" i="18"/>
  <c r="D16" i="18"/>
  <c r="G6" i="7" l="1"/>
  <c r="G9" i="7" s="1"/>
  <c r="C5" i="14"/>
  <c r="M3" i="14" s="1"/>
  <c r="I4" i="7"/>
  <c r="I4" i="12" s="1"/>
  <c r="I67" i="4"/>
  <c r="I30" i="7" s="1"/>
  <c r="I5" i="15" s="1"/>
  <c r="I91" i="4"/>
  <c r="I34" i="7" s="1"/>
  <c r="I115" i="4"/>
  <c r="I39" i="7" s="1"/>
  <c r="I79" i="4"/>
  <c r="I31" i="7" s="1"/>
  <c r="G32" i="7"/>
  <c r="G4" i="15" s="1"/>
  <c r="G109" i="4"/>
  <c r="G42" i="7" s="1"/>
  <c r="K45" i="4"/>
  <c r="K18" i="7" s="1"/>
  <c r="J18" i="7"/>
  <c r="H58" i="4"/>
  <c r="H59" i="4" s="1"/>
  <c r="H33" i="4" s="1"/>
  <c r="H5" i="7"/>
  <c r="H6" i="7" s="1"/>
  <c r="H9" i="7" s="1"/>
  <c r="H97" i="4"/>
  <c r="H38" i="7" s="1"/>
  <c r="H6" i="15" s="1"/>
  <c r="H73" i="4"/>
  <c r="J9" i="4"/>
  <c r="I27" i="4"/>
  <c r="I11" i="7" s="1"/>
  <c r="I9" i="9" s="1"/>
  <c r="I43" i="9" s="1"/>
  <c r="I15" i="4"/>
  <c r="I21" i="4"/>
  <c r="I8" i="7" s="1"/>
  <c r="G33" i="4"/>
  <c r="J28" i="19"/>
  <c r="K28" i="19"/>
  <c r="F38" i="18"/>
  <c r="E7" i="15"/>
  <c r="O4" i="14"/>
  <c r="N4" i="14"/>
  <c r="M4" i="14"/>
  <c r="L4" i="14"/>
  <c r="K4" i="14"/>
  <c r="L3" i="14"/>
  <c r="N3" i="14"/>
  <c r="K2" i="14"/>
  <c r="L2" i="14" s="1"/>
  <c r="K10" i="10"/>
  <c r="J10" i="10"/>
  <c r="I10" i="10"/>
  <c r="H10" i="10"/>
  <c r="G10" i="10"/>
  <c r="B6" i="1"/>
  <c r="B7" i="1" s="1"/>
  <c r="B9" i="1" s="1"/>
  <c r="B10" i="1" s="1"/>
  <c r="B11" i="1" s="1"/>
  <c r="B12" i="1" s="1"/>
  <c r="H12" i="7" l="1"/>
  <c r="H5" i="12"/>
  <c r="G12" i="7"/>
  <c r="G39" i="9" s="1"/>
  <c r="C7" i="14"/>
  <c r="G5" i="12"/>
  <c r="G6" i="12" s="1"/>
  <c r="H39" i="9"/>
  <c r="H60" i="4"/>
  <c r="H127" i="4" s="1"/>
  <c r="H43" i="7" s="1"/>
  <c r="H14" i="7"/>
  <c r="H16" i="7" s="1"/>
  <c r="H19" i="7" s="1"/>
  <c r="I58" i="4"/>
  <c r="I59" i="4" s="1"/>
  <c r="I33" i="4" s="1"/>
  <c r="I5" i="7"/>
  <c r="I6" i="7" s="1"/>
  <c r="I9" i="7" s="1"/>
  <c r="I97" i="4"/>
  <c r="I38" i="7" s="1"/>
  <c r="I6" i="15" s="1"/>
  <c r="I73" i="4"/>
  <c r="J4" i="7"/>
  <c r="J4" i="12" s="1"/>
  <c r="J67" i="4"/>
  <c r="J30" i="7" s="1"/>
  <c r="J5" i="15" s="1"/>
  <c r="J79" i="4"/>
  <c r="J31" i="7" s="1"/>
  <c r="J115" i="4"/>
  <c r="J39" i="7" s="1"/>
  <c r="J91" i="4"/>
  <c r="J34" i="7" s="1"/>
  <c r="H32" i="7"/>
  <c r="H4" i="15" s="1"/>
  <c r="H7" i="15" s="1"/>
  <c r="H109" i="4"/>
  <c r="H42" i="7" s="1"/>
  <c r="G10" i="9"/>
  <c r="G45" i="9" s="1"/>
  <c r="G60" i="4"/>
  <c r="G127" i="4" s="1"/>
  <c r="G43" i="7" s="1"/>
  <c r="G14" i="7"/>
  <c r="G16" i="7" s="1"/>
  <c r="G19" i="7" s="1"/>
  <c r="K9" i="4"/>
  <c r="J15" i="4"/>
  <c r="J27" i="4"/>
  <c r="J11" i="7" s="1"/>
  <c r="J9" i="9" s="1"/>
  <c r="J43" i="9" s="1"/>
  <c r="J21" i="4"/>
  <c r="J8" i="7" s="1"/>
  <c r="H6" i="12"/>
  <c r="D6" i="12"/>
  <c r="D7" i="15"/>
  <c r="C7" i="15"/>
  <c r="E6" i="12"/>
  <c r="G7" i="15"/>
  <c r="C6" i="12"/>
  <c r="M2" i="14"/>
  <c r="N2" i="14" s="1"/>
  <c r="O3" i="14" s="1"/>
  <c r="H51" i="4" l="1"/>
  <c r="I12" i="7"/>
  <c r="I5" i="12"/>
  <c r="I6" i="12" s="1"/>
  <c r="H10" i="9"/>
  <c r="H45" i="9" s="1"/>
  <c r="I39" i="9"/>
  <c r="I60" i="4"/>
  <c r="I127" i="4" s="1"/>
  <c r="I43" i="7" s="1"/>
  <c r="I14" i="7"/>
  <c r="I16" i="7" s="1"/>
  <c r="I19" i="7" s="1"/>
  <c r="K4" i="7"/>
  <c r="K4" i="12" s="1"/>
  <c r="K79" i="4"/>
  <c r="K31" i="7" s="1"/>
  <c r="K115" i="4"/>
  <c r="K39" i="7" s="1"/>
  <c r="K91" i="4"/>
  <c r="K34" i="7" s="1"/>
  <c r="K67" i="4"/>
  <c r="K30" i="7" s="1"/>
  <c r="K5" i="15" s="1"/>
  <c r="G51" i="4"/>
  <c r="J58" i="4"/>
  <c r="J59" i="4" s="1"/>
  <c r="J33" i="4" s="1"/>
  <c r="J5" i="7"/>
  <c r="J6" i="7" s="1"/>
  <c r="J9" i="7" s="1"/>
  <c r="J97" i="4"/>
  <c r="J38" i="7" s="1"/>
  <c r="J6" i="15" s="1"/>
  <c r="J73" i="4"/>
  <c r="H61" i="4"/>
  <c r="H145" i="4" s="1"/>
  <c r="H21" i="9" s="1"/>
  <c r="H24" i="9" s="1"/>
  <c r="H22" i="7"/>
  <c r="I32" i="7"/>
  <c r="I4" i="15" s="1"/>
  <c r="I7" i="15" s="1"/>
  <c r="I109" i="4"/>
  <c r="I42" i="7" s="1"/>
  <c r="K15" i="4"/>
  <c r="K21" i="4"/>
  <c r="K8" i="7" s="1"/>
  <c r="K27" i="4"/>
  <c r="K11" i="7" s="1"/>
  <c r="K9" i="9" s="1"/>
  <c r="K43" i="9" s="1"/>
  <c r="J12" i="7" l="1"/>
  <c r="J5" i="12"/>
  <c r="J6" i="12" s="1"/>
  <c r="I10" i="9"/>
  <c r="I45" i="9" s="1"/>
  <c r="H5" i="9"/>
  <c r="H21" i="7"/>
  <c r="H40" i="9" s="1"/>
  <c r="H41" i="9" s="1"/>
  <c r="H46" i="9" s="1"/>
  <c r="G61" i="4"/>
  <c r="G145" i="4" s="1"/>
  <c r="G21" i="9" s="1"/>
  <c r="G24" i="9" s="1"/>
  <c r="G22" i="7"/>
  <c r="K58" i="4"/>
  <c r="K59" i="4" s="1"/>
  <c r="K5" i="7"/>
  <c r="K6" i="7" s="1"/>
  <c r="K9" i="7" s="1"/>
  <c r="K97" i="4"/>
  <c r="K38" i="7" s="1"/>
  <c r="K6" i="15" s="1"/>
  <c r="K73" i="4"/>
  <c r="H24" i="7"/>
  <c r="H4" i="9" s="1"/>
  <c r="H6" i="9" s="1"/>
  <c r="H12" i="9" s="1"/>
  <c r="H26" i="9" s="1"/>
  <c r="I51" i="4"/>
  <c r="J32" i="7"/>
  <c r="J4" i="15" s="1"/>
  <c r="J7" i="15" s="1"/>
  <c r="J109" i="4"/>
  <c r="J42" i="7" s="1"/>
  <c r="J60" i="4"/>
  <c r="J14" i="7"/>
  <c r="J16" i="7" s="1"/>
  <c r="J19" i="7" s="1"/>
  <c r="J39" i="9"/>
  <c r="K12" i="7" l="1"/>
  <c r="K5" i="12"/>
  <c r="K6" i="12" s="1"/>
  <c r="H8" i="10"/>
  <c r="J10" i="9"/>
  <c r="J45" i="9" s="1"/>
  <c r="K33" i="4"/>
  <c r="K14" i="7" s="1"/>
  <c r="K16" i="7" s="1"/>
  <c r="K19" i="7" s="1"/>
  <c r="J127" i="4"/>
  <c r="J43" i="7" s="1"/>
  <c r="J51" i="4"/>
  <c r="K39" i="9"/>
  <c r="I61" i="4"/>
  <c r="I145" i="4" s="1"/>
  <c r="I21" i="9" s="1"/>
  <c r="I24" i="9" s="1"/>
  <c r="I22" i="7"/>
  <c r="G21" i="7"/>
  <c r="G40" i="9" s="1"/>
  <c r="G41" i="9" s="1"/>
  <c r="G46" i="9" s="1"/>
  <c r="G5" i="9"/>
  <c r="G24" i="7"/>
  <c r="K32" i="7"/>
  <c r="K4" i="15" s="1"/>
  <c r="K7" i="15" s="1"/>
  <c r="K109" i="4"/>
  <c r="K42" i="7" s="1"/>
  <c r="H11" i="10" l="1"/>
  <c r="D5" i="13" s="1"/>
  <c r="D4" i="13"/>
  <c r="K60" i="4"/>
  <c r="K127" i="4" s="1"/>
  <c r="K43" i="7" s="1"/>
  <c r="G8" i="10"/>
  <c r="K51" i="4"/>
  <c r="K61" i="4" s="1"/>
  <c r="K145" i="4" s="1"/>
  <c r="K21" i="9" s="1"/>
  <c r="K24" i="9" s="1"/>
  <c r="I5" i="9"/>
  <c r="I21" i="7"/>
  <c r="I40" i="9" s="1"/>
  <c r="I41" i="9" s="1"/>
  <c r="I46" i="9" s="1"/>
  <c r="I24" i="7"/>
  <c r="I4" i="9" s="1"/>
  <c r="K10" i="9"/>
  <c r="K45" i="9" s="1"/>
  <c r="J61" i="4"/>
  <c r="J145" i="4" s="1"/>
  <c r="J21" i="9" s="1"/>
  <c r="J24" i="9" s="1"/>
  <c r="J22" i="7"/>
  <c r="G4" i="9"/>
  <c r="G6" i="9" s="1"/>
  <c r="G12" i="9" s="1"/>
  <c r="G26" i="9" s="1"/>
  <c r="G29" i="9" s="1"/>
  <c r="H28" i="9" s="1"/>
  <c r="G44" i="7"/>
  <c r="G11" i="10" l="1"/>
  <c r="C5" i="13" s="1"/>
  <c r="C4" i="13"/>
  <c r="K22" i="7"/>
  <c r="K24" i="7" s="1"/>
  <c r="K4" i="9" s="1"/>
  <c r="I6" i="9"/>
  <c r="I12" i="9" s="1"/>
  <c r="I26" i="9" s="1"/>
  <c r="I8" i="10"/>
  <c r="H31" i="9"/>
  <c r="H32" i="9" s="1"/>
  <c r="H29" i="9"/>
  <c r="I28" i="9" s="1"/>
  <c r="I31" i="9" s="1"/>
  <c r="I32" i="9" s="1"/>
  <c r="H44" i="7"/>
  <c r="G45" i="7"/>
  <c r="G35" i="7" s="1"/>
  <c r="G36" i="7" s="1"/>
  <c r="G47" i="7" s="1"/>
  <c r="J5" i="9"/>
  <c r="J21" i="7"/>
  <c r="J40" i="9" s="1"/>
  <c r="J41" i="9" s="1"/>
  <c r="J46" i="9" s="1"/>
  <c r="J24" i="7"/>
  <c r="J4" i="9" s="1"/>
  <c r="K21" i="7" l="1"/>
  <c r="K40" i="9" s="1"/>
  <c r="K41" i="9" s="1"/>
  <c r="K46" i="9" s="1"/>
  <c r="K8" i="10" s="1"/>
  <c r="C16" i="10" s="1"/>
  <c r="C17" i="10" s="1"/>
  <c r="K5" i="9"/>
  <c r="I11" i="10"/>
  <c r="E5" i="13" s="1"/>
  <c r="E4" i="13"/>
  <c r="K6" i="9"/>
  <c r="K12" i="9" s="1"/>
  <c r="K26" i="9" s="1"/>
  <c r="I29" i="9"/>
  <c r="J28" i="9" s="1"/>
  <c r="J31" i="9" s="1"/>
  <c r="J32" i="9" s="1"/>
  <c r="J8" i="10"/>
  <c r="J6" i="9"/>
  <c r="J12" i="9" s="1"/>
  <c r="J26" i="9" s="1"/>
  <c r="I44" i="7"/>
  <c r="H45" i="7"/>
  <c r="H35" i="7" s="1"/>
  <c r="H36" i="7" s="1"/>
  <c r="H47" i="7" s="1"/>
  <c r="K11" i="10"/>
  <c r="G5" i="13" s="1"/>
  <c r="G4" i="13" l="1"/>
  <c r="J29" i="9"/>
  <c r="K28" i="9" s="1"/>
  <c r="K31" i="9" s="1"/>
  <c r="K32" i="9" s="1"/>
  <c r="J11" i="10"/>
  <c r="F5" i="13" s="1"/>
  <c r="F4" i="13"/>
  <c r="K29" i="9"/>
  <c r="J44" i="7"/>
  <c r="I45" i="7"/>
  <c r="I35" i="7" s="1"/>
  <c r="I36" i="7" s="1"/>
  <c r="I47" i="7" s="1"/>
  <c r="C15" i="10" l="1"/>
  <c r="C18" i="10" s="1"/>
  <c r="E17" i="10" s="1"/>
  <c r="K44" i="7"/>
  <c r="K45" i="7" s="1"/>
  <c r="K35" i="7" s="1"/>
  <c r="K36" i="7" s="1"/>
  <c r="K47" i="7" s="1"/>
  <c r="J45" i="7"/>
  <c r="J35" i="7" s="1"/>
  <c r="J36" i="7" s="1"/>
  <c r="J47" i="7" s="1"/>
  <c r="C21" i="10"/>
  <c r="C22" i="10" s="1"/>
  <c r="G21" i="10"/>
  <c r="E15" i="10"/>
</calcChain>
</file>

<file path=xl/sharedStrings.xml><?xml version="1.0" encoding="utf-8"?>
<sst xmlns="http://schemas.openxmlformats.org/spreadsheetml/2006/main" count="688" uniqueCount="379">
  <si>
    <t>DCF Valuation</t>
  </si>
  <si>
    <t>Sheet index</t>
  </si>
  <si>
    <t xml:space="preserve">#                </t>
  </si>
  <si>
    <t>Worksheet</t>
  </si>
  <si>
    <t>P&amp;L assumptions</t>
  </si>
  <si>
    <t>BS assumptions</t>
  </si>
  <si>
    <t>P&amp;L</t>
  </si>
  <si>
    <t>Cash Flow</t>
  </si>
  <si>
    <t>DCF valuation</t>
  </si>
  <si>
    <t>Cash flows</t>
  </si>
  <si>
    <t>Ebitda bridge</t>
  </si>
  <si>
    <t>Working capital</t>
  </si>
  <si>
    <t>DCF results</t>
  </si>
  <si>
    <t>P&amp;L source</t>
  </si>
  <si>
    <t>BS source</t>
  </si>
  <si>
    <t>Scenarios:</t>
  </si>
  <si>
    <t>Case 1:</t>
  </si>
  <si>
    <t>Optimistic case</t>
  </si>
  <si>
    <t>Case 2:</t>
  </si>
  <si>
    <t>Base case</t>
  </si>
  <si>
    <t>Selected case</t>
  </si>
  <si>
    <t>Case 3:</t>
  </si>
  <si>
    <t>Worst case</t>
  </si>
  <si>
    <t>Revenues</t>
  </si>
  <si>
    <t>y-o-y growth%</t>
  </si>
  <si>
    <t>% of revenues</t>
  </si>
  <si>
    <t>Operating expenses</t>
  </si>
  <si>
    <t>D&amp;A</t>
  </si>
  <si>
    <t>Extraordinary income</t>
  </si>
  <si>
    <t>Taxes</t>
  </si>
  <si>
    <t>Inventory</t>
  </si>
  <si>
    <t>as a % of revenue</t>
  </si>
  <si>
    <t>Other assets</t>
  </si>
  <si>
    <t>Other liabilities</t>
  </si>
  <si>
    <t>Note</t>
  </si>
  <si>
    <t>EBITDA</t>
  </si>
  <si>
    <t>EBIT</t>
  </si>
  <si>
    <t>EBT</t>
  </si>
  <si>
    <t>Tax rate</t>
  </si>
  <si>
    <t>Net income</t>
  </si>
  <si>
    <t>Balance Sheet</t>
  </si>
  <si>
    <t>Intangible assets</t>
  </si>
  <si>
    <t>Total Assets</t>
  </si>
  <si>
    <t>Total Liabilities &amp; Equities</t>
  </si>
  <si>
    <t>Check</t>
  </si>
  <si>
    <t>Operating taxes</t>
  </si>
  <si>
    <t>Operating tax rate</t>
  </si>
  <si>
    <t>NOPAT</t>
  </si>
  <si>
    <t>Add-back D&amp;A</t>
  </si>
  <si>
    <t>Gross Cash Flow</t>
  </si>
  <si>
    <t>1)</t>
  </si>
  <si>
    <t>Trade receivables</t>
  </si>
  <si>
    <t>Trade payables</t>
  </si>
  <si>
    <t>Investments in working capital</t>
  </si>
  <si>
    <t>2)</t>
  </si>
  <si>
    <t>Investments in other assets/liabilities</t>
  </si>
  <si>
    <t>3)</t>
  </si>
  <si>
    <t>Capex</t>
  </si>
  <si>
    <t>4)</t>
  </si>
  <si>
    <t>Other investments</t>
  </si>
  <si>
    <t>5)</t>
  </si>
  <si>
    <t>Extraordinary items</t>
  </si>
  <si>
    <t>6)</t>
  </si>
  <si>
    <t>UFCF</t>
  </si>
  <si>
    <t>1) + 2) + 3) + 4) + 5) + 6)</t>
  </si>
  <si>
    <t>Interest expenses</t>
  </si>
  <si>
    <t>Delta Taxes vs. Operating taxes</t>
  </si>
  <si>
    <t>Delta Financial liabilities</t>
  </si>
  <si>
    <t>Delta Equity (incl. dividends)</t>
  </si>
  <si>
    <t>Net Cash Flow</t>
  </si>
  <si>
    <t>Opening cash</t>
  </si>
  <si>
    <t>Closing cash</t>
  </si>
  <si>
    <t>WACC</t>
  </si>
  <si>
    <t>g</t>
  </si>
  <si>
    <t>Discount factor</t>
  </si>
  <si>
    <t>Present value of UFCF</t>
  </si>
  <si>
    <t>PV of Cash flows</t>
  </si>
  <si>
    <t>Continuing value</t>
  </si>
  <si>
    <t>PV of Continuing value</t>
  </si>
  <si>
    <t>Enterprise value</t>
  </si>
  <si>
    <t>Cash</t>
  </si>
  <si>
    <t>Equity value</t>
  </si>
  <si>
    <t>Revenues &amp; EBITDA</t>
  </si>
  <si>
    <t>EBITDA%</t>
  </si>
  <si>
    <t>Delta Revenues</t>
  </si>
  <si>
    <t>Delta Cogs</t>
  </si>
  <si>
    <t>Delta Opex</t>
  </si>
  <si>
    <t>DSO</t>
  </si>
  <si>
    <t>DIO</t>
  </si>
  <si>
    <t>DPO</t>
  </si>
  <si>
    <t>Scenario 1</t>
  </si>
  <si>
    <t>Scenario 2</t>
  </si>
  <si>
    <t>Scenario 3</t>
  </si>
  <si>
    <t>CFs in Forecast period</t>
  </si>
  <si>
    <t>Continuing Value</t>
  </si>
  <si>
    <t>Revenue</t>
  </si>
  <si>
    <t>Other operating expenses</t>
  </si>
  <si>
    <t>Net Income</t>
  </si>
  <si>
    <t>Share Capital</t>
  </si>
  <si>
    <t>Reserves</t>
  </si>
  <si>
    <t>Retained earnings</t>
  </si>
  <si>
    <t>Total Equity</t>
  </si>
  <si>
    <t>Total Liabilities</t>
  </si>
  <si>
    <t>Total Liabilities &amp; Equity</t>
  </si>
  <si>
    <t>*US $1.00 = AED 3.673</t>
  </si>
  <si>
    <t>AED in millions*</t>
  </si>
  <si>
    <t>2022
Act</t>
  </si>
  <si>
    <t>2023
Act</t>
  </si>
  <si>
    <t>2024
Act</t>
  </si>
  <si>
    <t>Revenue from hospitality</t>
  </si>
  <si>
    <t>Revenue from leased properties, retail and related income</t>
  </si>
  <si>
    <t>Cost of residential units</t>
  </si>
  <si>
    <t>Cost of commercial units, plots of land and others</t>
  </si>
  <si>
    <t>Write down of development properties</t>
  </si>
  <si>
    <t>Cost of revenue from hospitality</t>
  </si>
  <si>
    <t>Cost of revenue from leased properties, retail and related activities</t>
  </si>
  <si>
    <t>Gross Profit</t>
  </si>
  <si>
    <t>Other operating income</t>
  </si>
  <si>
    <t>Selling, general and administrative expenses (SG&amp;A)</t>
  </si>
  <si>
    <t>Operating Expenses</t>
  </si>
  <si>
    <t>Depreciation of property, plant and equipment</t>
  </si>
  <si>
    <t>Depreciation of investment properties</t>
  </si>
  <si>
    <t>Finance income</t>
  </si>
  <si>
    <t>Finance costs</t>
  </si>
  <si>
    <t>Earnings Before Tax &amp; Extraordinary</t>
  </si>
  <si>
    <t>Other income</t>
  </si>
  <si>
    <t>Share of results of associates and joint ventures</t>
  </si>
  <si>
    <t>Impairment (non-cash loss)</t>
  </si>
  <si>
    <t>EBT (Profit Before Tax)</t>
  </si>
  <si>
    <t>Income tax expenses</t>
  </si>
  <si>
    <t>**Sukuk - Islamic bonds</t>
  </si>
  <si>
    <t>31Dec22
Act</t>
  </si>
  <si>
    <t>31Dec23
Act</t>
  </si>
  <si>
    <t>31Dec24
Act</t>
  </si>
  <si>
    <t>AED in millions</t>
  </si>
  <si>
    <t>Trade and unbilled receivables</t>
  </si>
  <si>
    <t>Employees' performance share program</t>
  </si>
  <si>
    <t>Development properties</t>
  </si>
  <si>
    <t>Assets classified as held for sale</t>
  </si>
  <si>
    <t>Equity attributable to owners of the Company</t>
  </si>
  <si>
    <t>Non-controlling interests</t>
  </si>
  <si>
    <t>Current Assets</t>
  </si>
  <si>
    <t>Investments in securities</t>
  </si>
  <si>
    <t>Trade and other payables</t>
  </si>
  <si>
    <t>Loans to associates and joint ventures</t>
  </si>
  <si>
    <t>Advances from customers</t>
  </si>
  <si>
    <t>Investments in associates and joint ventures</t>
  </si>
  <si>
    <t>Liabilities linked to held-for-sale assets</t>
  </si>
  <si>
    <t>Income tax payable</t>
  </si>
  <si>
    <t>Property, plant and equipment (PP&amp;E)</t>
  </si>
  <si>
    <t>Retentions payable</t>
  </si>
  <si>
    <t>Investment properties</t>
  </si>
  <si>
    <t>Current Liabilities</t>
  </si>
  <si>
    <t>Right-of-use assets</t>
  </si>
  <si>
    <t>Deferred income tax liabilities</t>
  </si>
  <si>
    <t>Non-current assets</t>
  </si>
  <si>
    <t>Interest-bearing loans and borrowings</t>
  </si>
  <si>
    <t>What will be included in Balance Sheet during forecast</t>
  </si>
  <si>
    <t>Sukuk**</t>
  </si>
  <si>
    <t>Current Assets = Cash &amp; equivalents + Trade receivables + Other Assets + Development Properties</t>
  </si>
  <si>
    <t>Provision for employees' end-of-service benefits</t>
  </si>
  <si>
    <t>Non-Current Assets = Financial assets + PP&amp;E + Investment properties + Intangible assets</t>
  </si>
  <si>
    <t>Total Equity = Equity attributable to owners of the Company + Non-controlling interests</t>
  </si>
  <si>
    <t>Non-current Liabilities</t>
  </si>
  <si>
    <t>Current Liabilities = Trade and other payables + Advances from customers</t>
  </si>
  <si>
    <t>Non-Current Liabilities = Financial Liabilities + Other Liabilities</t>
  </si>
  <si>
    <t>More Detailed Statements</t>
  </si>
  <si>
    <t>Other Assets = Other assets + Assets classified as held for sale + Right-of-use assets (included to simplify model)</t>
  </si>
  <si>
    <t>Financial Assets = Investments in securities + Loans to associates and joint ventures + Investments in associates and joint ventures</t>
  </si>
  <si>
    <t>Financial Liabilities = Sukuk + Interest-bearing loans and borrowings</t>
  </si>
  <si>
    <t>Other Liabilities = Liabilities linked to held-for-sale assets + Income tax payable + Retentions payable + Deferred income tax liabilities + Provision for employees' end-of-service benefits</t>
  </si>
  <si>
    <t>3) DCF Model --&gt;</t>
  </si>
  <si>
    <t>2) 3 Statement model --&gt;</t>
  </si>
  <si>
    <t>1) Sources --&gt;</t>
  </si>
  <si>
    <t>Attributable to:</t>
  </si>
  <si>
    <t>Owners of the Parent</t>
  </si>
  <si>
    <t>EPS (basic and diluted)</t>
  </si>
  <si>
    <t>Revenue from real estate:</t>
  </si>
  <si>
    <t>Sale of residential units (net)</t>
  </si>
  <si>
    <t>Sale of commercial units, plots of land and others</t>
  </si>
  <si>
    <t>Bank and cash balances</t>
  </si>
  <si>
    <t>Profit before tax (EBT)</t>
  </si>
  <si>
    <t>Cash flows from operating activities (CFO):</t>
  </si>
  <si>
    <t>Depreciation</t>
  </si>
  <si>
    <t>Amortisation of intangible assets</t>
  </si>
  <si>
    <t>Provision / (Reversal) for end-of-service benefits, net</t>
  </si>
  <si>
    <t>Gain on sale of interest in subsidiary</t>
  </si>
  <si>
    <t>Loss on disposal of PP&amp;E</t>
  </si>
  <si>
    <t>Provision for doubtful receivable and advances</t>
  </si>
  <si>
    <t>Impairment on non-financial assets</t>
  </si>
  <si>
    <t>Remeasurement of fair value of pre-existing interest in an acquiree</t>
  </si>
  <si>
    <t>Cash from operations before working capital changes</t>
  </si>
  <si>
    <t>Working capital changes:</t>
  </si>
  <si>
    <t>Gain on disposal of investment properties</t>
  </si>
  <si>
    <t>Gain on restructuring of an associate</t>
  </si>
  <si>
    <t>Other assets, receivables, deposits and prepayments</t>
  </si>
  <si>
    <t>Trade and other payable</t>
  </si>
  <si>
    <t>Income tax, net</t>
  </si>
  <si>
    <t>Net cash flows from operating activities</t>
  </si>
  <si>
    <t>Purchase of securities</t>
  </si>
  <si>
    <t>Proceeds from disposal of securities</t>
  </si>
  <si>
    <t>Finance income received</t>
  </si>
  <si>
    <t>Dividends received from associates and joint ventures</t>
  </si>
  <si>
    <t>Repayment of loans to and investments in associates and joint ventures, net</t>
  </si>
  <si>
    <t>Amounts incurred on investment properties</t>
  </si>
  <si>
    <t>Proceeds from disposal of investment properties</t>
  </si>
  <si>
    <t>Amounts incurred on PP&amp;E</t>
  </si>
  <si>
    <t>Proceeds from disposal of PP&amp;E</t>
  </si>
  <si>
    <t>Deposits maturing after three months (including deposits under lien)</t>
  </si>
  <si>
    <t>Amounts incurred on intangible assets</t>
  </si>
  <si>
    <t>Acquisition of Dubai Creek Harbour</t>
  </si>
  <si>
    <t>Proceeds from sale of assets held for sale</t>
  </si>
  <si>
    <t>Net cash flows from investing activities</t>
  </si>
  <si>
    <t>Cash flows from investing activities (CFI):</t>
  </si>
  <si>
    <t>Cash flows from financing activities (CFF):</t>
  </si>
  <si>
    <t>Proceeds from interest-bearing loans and borrowings</t>
  </si>
  <si>
    <t>Repayment of interest-bearing loans and borrowings</t>
  </si>
  <si>
    <t>Dividends paid (including dividends of subsidiaries)</t>
  </si>
  <si>
    <t>Finance costs paid</t>
  </si>
  <si>
    <t>Directors' bonus paid (including Directors' bonus of subsidiaries)</t>
  </si>
  <si>
    <t>Funds invested by minority shareholders-net</t>
  </si>
  <si>
    <t>Payment of lease liabilities</t>
  </si>
  <si>
    <t>Net cash flows used in financing activities</t>
  </si>
  <si>
    <t>Increase in cash and cash equivalents</t>
  </si>
  <si>
    <t>Net foreign exchange difference</t>
  </si>
  <si>
    <t>Cash and cash equivalents at the beginning of the year</t>
  </si>
  <si>
    <t>Cash and cash equivalents at the end of the year</t>
  </si>
  <si>
    <t>Net cash and cash equivalents acquired on acquisition of subsidiary</t>
  </si>
  <si>
    <t>Payment of Sukuk</t>
  </si>
  <si>
    <t>Loan from non-controlling shareholder</t>
  </si>
  <si>
    <t>CF source</t>
  </si>
  <si>
    <t>Finance Costs</t>
  </si>
  <si>
    <t>Finance Income</t>
  </si>
  <si>
    <t>Cost of revenues</t>
  </si>
  <si>
    <t>Cost of Revenues</t>
  </si>
  <si>
    <t>% of EBIT</t>
  </si>
  <si>
    <t>% of average debt</t>
  </si>
  <si>
    <t>FY 2022
Actual</t>
  </si>
  <si>
    <t>FY 2023
Actual</t>
  </si>
  <si>
    <t>FY 2024
Actual</t>
  </si>
  <si>
    <t>FY 2025
Forecast</t>
  </si>
  <si>
    <t>FY 2026
Forecast</t>
  </si>
  <si>
    <t>FY 2027
Forecast</t>
  </si>
  <si>
    <t>FY 2028
Forecast</t>
  </si>
  <si>
    <t>FY 2029
Forecast</t>
  </si>
  <si>
    <t>Forecast Item</t>
  </si>
  <si>
    <t>P&amp;L Assumptions</t>
  </si>
  <si>
    <t>BS Assumptions</t>
  </si>
  <si>
    <t>CF Assumptions</t>
  </si>
  <si>
    <t xml:space="preserve">Forecast Item </t>
  </si>
  <si>
    <t>Notes (rationale behind assumptions)</t>
  </si>
  <si>
    <t>Revenues (y-o-y growth%)</t>
  </si>
  <si>
    <t>Cost of revenues (% of revenues)</t>
  </si>
  <si>
    <t>Operating expenses (% of revenues)</t>
  </si>
  <si>
    <t>D&amp;A (% of revenues)</t>
  </si>
  <si>
    <t>Finance Income (% of EBIT)</t>
  </si>
  <si>
    <t>Finance Costs (% of average debt)</t>
  </si>
  <si>
    <t>Extraordinary income (y-o-y growth%)</t>
  </si>
  <si>
    <t>Taxes (% of EBT)</t>
  </si>
  <si>
    <t>Case 1 (Optimistic)</t>
  </si>
  <si>
    <t>Case 2 (Base)</t>
  </si>
  <si>
    <t>Case 3 (Worst)</t>
  </si>
  <si>
    <t>Driven by macro factors, demand cycles, and pre-sales pipeline; simplified to a single growth rate for modeling efficiency.</t>
  </si>
  <si>
    <t>Forecasted as a % of total revenues to reflect margin dynamics; adjusted per scenario to capture operational leverage or cost pressure.</t>
  </si>
  <si>
    <t>SG&amp;A and other ops costs are modeled as % of revenues to account for scale efficiencies or inefficiencies.</t>
  </si>
  <si>
    <t>Forecasted as % of revenues for simplicity, consistent with the scale of the asset base relative to topline growth.</t>
  </si>
  <si>
    <t>Tied to EBIT as a proxy for operational scale and cash-generating capacity.</t>
  </si>
  <si>
    <t>Tied to average debt balance; varies with leverage and interest rate environment.</t>
  </si>
  <si>
    <t>Modeled with scenario-linked growth to reflect volatility in JV contributions, revaluations, or impairments.</t>
  </si>
  <si>
    <t>Forecasted as % of EBT, gradually normalizing toward UAE corporate tax guidelines.</t>
  </si>
  <si>
    <t>P&amp;L, BS and CF assumptions</t>
  </si>
  <si>
    <t>Assets</t>
  </si>
  <si>
    <t>Liabilties&amp; Equity</t>
  </si>
  <si>
    <t>#</t>
  </si>
  <si>
    <t>PP&amp;E and Investment Properties</t>
  </si>
  <si>
    <t>Other Assets (Other Assets + Assets classified as held for sale</t>
  </si>
  <si>
    <t>Intangibles &amp; JV Assets (Intangible assets, Investments in securities, Loans to associates and JV, Investments in associates and JV, Right-of-use assets)</t>
  </si>
  <si>
    <t>Debt (Loans &amp; Sukuk)</t>
  </si>
  <si>
    <t>-</t>
  </si>
  <si>
    <t>Grouped Items for BS Assumptions</t>
  </si>
  <si>
    <t>Other Liabilities (Liabilities linked to held-for-sale assets; Deferred income tax liabilities; Provision for employees' end-of-service benefits)</t>
  </si>
  <si>
    <t>Days Sales Outstanding (DSO)</t>
  </si>
  <si>
    <t>Days Payables Outstanding (DPO)</t>
  </si>
  <si>
    <t>Development Properties</t>
  </si>
  <si>
    <t>Days Inventory Outstanding (DIO)</t>
  </si>
  <si>
    <t>Intangible &amp; JV Assets</t>
  </si>
  <si>
    <t>Advances from Customers</t>
  </si>
  <si>
    <t>Debt</t>
  </si>
  <si>
    <t>Income Tax payable</t>
  </si>
  <si>
    <t>as a % of EBT</t>
  </si>
  <si>
    <t>as a % of Development Properties</t>
  </si>
  <si>
    <t>Trade and unbilled receivable (DSO days)</t>
  </si>
  <si>
    <t>Development Properties (DIO days)</t>
  </si>
  <si>
    <t>PP&amp;E and Investment Properties (% of revenues)</t>
  </si>
  <si>
    <t>Intangible &amp; JV Assets (y-o-y growth%)</t>
  </si>
  <si>
    <t>Other assets (% of revenues)</t>
  </si>
  <si>
    <t>Trade and other payable (DPO days)</t>
  </si>
  <si>
    <t>Retentions payable (% of Development Properties)</t>
  </si>
  <si>
    <t>Advances from Customers (% of revenues)</t>
  </si>
  <si>
    <t>Debt (y-o-y growth%)</t>
  </si>
  <si>
    <t>Other liabilities (as a % of EBT)</t>
  </si>
  <si>
    <t>Income Tax payable (flat)</t>
  </si>
  <si>
    <t>flat amount</t>
  </si>
  <si>
    <t>Flat</t>
  </si>
  <si>
    <t>DSO has consistently decreased over the past three years, from 325 to 159 days, indicating improved collections. Base and Optimistic scenarios continue this trend, while the Worst case assumes a reversal due to weaker payment discipline or project delays.</t>
  </si>
  <si>
    <t>DIO has declined moderately from 1,250 to 1,089 days. As a proxy for inventory turnover, the Base and Optimistic scenarios reflect operational improvement, while the Worst case assumes longer project completion and slower sales.</t>
  </si>
  <si>
    <t>The ratio has decreased from 131% to 85%, showing reduced capital intensity. Base and Optimistic scenarios assume this efficiency continues. Worst case assumes higher CapEx needs or lower revenue productivity.</t>
  </si>
  <si>
    <t>The asset group has seen slight declines, with –6.9% in 2023 and –3.5% in 2024. Base assumes stabilization and minimal growth. Optimistic includes renewed investment in intangibles or JV activity. Worst assumes no growth.</t>
  </si>
  <si>
    <t>Historically stable between 25%–28%. Base case uses midpoint; Optimistic assumes tighter management; Worst allows for slight excess or buildup in non-core assets.</t>
  </si>
  <si>
    <t>DPO has fallen sharply from 582 to 424 days, possibly due to faster payments or renegotiated terms. Base and Optimistic extend vendor payment windows slightly; Worst assumes reduced flexibility.</t>
  </si>
  <si>
    <t>Fluctuated unpredictably; fixed at AED 1,238 in all scenarios for modeling simplicity. Tax is otherwise captured through P&amp;L and CF projections.</t>
  </si>
  <si>
    <t>Historically around 3.7–4.1%. Base holds this level. Optimistic assumes tighter retention management. Worst assumes slightly higher contractual holdbacks.</t>
  </si>
  <si>
    <t>Strong upward trend from 78.5% to 91.5%, indicating robust pre-sales. Base and Optimistic maintain high dependency on this cash-in model. Worst assumes reduced customer confidence or sales delays.</t>
  </si>
  <si>
    <t>Historical trend shows consistent deleveraging (–15% to –21%). Base assumes slower decline. Optimistic reflects continued proactive debt reduction. Worst assumes a pause in deleveraging due to cash needs.</t>
  </si>
  <si>
    <t>Dropped from 18.8% to 7%, reflecting possibly lower provisions and deferred liabilities. Base maintains a moderate level. Optimistic assumes leaner structure. Worst builds in added conservatism or provisions.</t>
  </si>
  <si>
    <t>CF assumptions</t>
  </si>
  <si>
    <t>Gross profit</t>
  </si>
  <si>
    <t>EBT &amp; Extraordinary Income</t>
  </si>
  <si>
    <t>EBT (Profit before Tax)</t>
  </si>
  <si>
    <t>Total equity</t>
  </si>
  <si>
    <t>previous year's Equity + current year's Net income</t>
  </si>
  <si>
    <t>Cash is inserted as a plug to balance assets and liabilities&amp;equities</t>
  </si>
  <si>
    <t>(+) Income taxes expenses</t>
  </si>
  <si>
    <t>Cash Flow from Operating Activities (CFO):</t>
  </si>
  <si>
    <t>Change in Working Capital</t>
  </si>
  <si>
    <t>Other Adjustments (net)</t>
  </si>
  <si>
    <t>Net cash flows from operating activities (CFO)</t>
  </si>
  <si>
    <t>Cash Flow from Investing Activities (CFI):</t>
  </si>
  <si>
    <t>Other investing items</t>
  </si>
  <si>
    <t>Net cash flows from investing activities (CFI)</t>
  </si>
  <si>
    <t>Cash Flow from Financing Activities (CFF):</t>
  </si>
  <si>
    <t xml:space="preserve">Net Change in Debt </t>
  </si>
  <si>
    <t>Dividends Paid</t>
  </si>
  <si>
    <t>Other Financing Items</t>
  </si>
  <si>
    <t>Net cash flows used in financing activities (CFF)</t>
  </si>
  <si>
    <t>CapEx (Amount incurred on investment properties + Amounts incurred on PP&amp;E)</t>
  </si>
  <si>
    <t>Other Financing Items (lease liabilities; Sukuk; Loan; Director's bonus)</t>
  </si>
  <si>
    <t>Equity Transactions (minority interest)</t>
  </si>
  <si>
    <t>Change_in_Working_Capital_t = (Receivables_t – Receivables_t-1) +(OtherAssets_t – OtherAssets_t-1) +(Dev_Properties_t – Dev_Properties_t-1) +(Adv_from_Cust_t – Adv_from_Cust_t-1) - (Payables_t – Payables_t-1) - (Income_tax_Payables_t – Income_tax_Payables_t-1)- (Retentions_Payables_t – Retentions_Payables_t-1)</t>
  </si>
  <si>
    <t>Capital Expenditure (CapEx)</t>
  </si>
  <si>
    <t>Debt_t - Debt_t-1 (from BS statement)</t>
  </si>
  <si>
    <t>Close to zero</t>
  </si>
  <si>
    <t>as a % of Net Income</t>
  </si>
  <si>
    <t>Historical average as flat</t>
  </si>
  <si>
    <t>Scenario-based amount</t>
  </si>
  <si>
    <t>Capital Expenditure (CapEx)  (as a % of revenue)</t>
  </si>
  <si>
    <t>Dividends Paid (as a % of Net Income)</t>
  </si>
  <si>
    <t>Other Financing Items  (Scenario-based amount)</t>
  </si>
  <si>
    <t>CapEx is forecasted as a percentage of revenue to reflect Emaar’s capital intensity. Based on historical CapEx-to-revenue ratios (around 3.6% in 2024), we apply 3.5% in the optimistic case (leaner asset deployment), 4.5% in the base case (stable reinvestment), and 5.5% in the worst case (higher maintenance and slower asset turnover).</t>
  </si>
  <si>
    <t>The dividend payout ratio fluctuated between 19.6% and 41.8% during 2022–2024, reflecting Emaar’s flexible dividend policy aligned with profitability and cash availability. For forecasting, we use a scenario-based payout ratio linked to net income: 30% in the base case to reflect balanced capital allocation, 40% in the optimistic case assuming strong cash flows, and 15% in the worst case to preserve liquidity under stress.</t>
  </si>
  <si>
    <t>Other financing outflows averaged around AED –180 million in 2022–2023, with a spike to –770 million in 2024 likely due to one-time financing-related adjustments such as lease payments or Sukuk restructuring. For the forecast, we apply flat scenario-driven values: –200 million in the base case to reflect normalized outflows, –150 million in the optimistic case under improved terms, and –300 million in the worst case to allow for higher lease or refinancing burdens.</t>
  </si>
  <si>
    <t>Opening Cash_t+1 – Closing Cash_t</t>
  </si>
  <si>
    <t>Check row verifies year-over-year continuity in cash by comparing Opening Cash_t+1 against Closing Cash_t. A value of 0 confirms cash flow logic is sound.</t>
  </si>
  <si>
    <t>UFCF Calculation:</t>
  </si>
  <si>
    <t>Unlevered Free Cash Flow = the cash the business generates before debt payments (cash available to both debt and equity holders)</t>
  </si>
  <si>
    <t>Tax Rate</t>
  </si>
  <si>
    <t>EBIT*(1-Tax Rate)</t>
  </si>
  <si>
    <t>(+) D&amp;A</t>
  </si>
  <si>
    <t>(-) CapEx</t>
  </si>
  <si>
    <t>(-) Change in WC</t>
  </si>
  <si>
    <t>AED</t>
  </si>
  <si>
    <t>USD</t>
  </si>
  <si>
    <t>(-) Financial liabilities</t>
  </si>
  <si>
    <t>Enterprise Value (AED)</t>
  </si>
  <si>
    <t>Enterprise Value (USD)</t>
  </si>
  <si>
    <t>Optimistic</t>
  </si>
  <si>
    <t>Base</t>
  </si>
  <si>
    <t>Worst</t>
  </si>
  <si>
    <t xml:space="preserve">US $1.00 = AED 3.673 </t>
  </si>
  <si>
    <t>EBITDA FY24</t>
  </si>
  <si>
    <t>EBITDA FY25</t>
  </si>
  <si>
    <t>Development Properties (Inventories)</t>
  </si>
  <si>
    <t>The EBITDA Bridge (also called a “walk” or “waterfall”) is used to explain the movement in EBITDA between two periods (here, FY2024 to FY2025) by breaking it into key operational drivers</t>
  </si>
  <si>
    <t>We’re explaining how EBITDA changes year over year by showing how each component (revenue, cost, opex) contributes to the growth or decline.</t>
  </si>
  <si>
    <t>Assumptions</t>
  </si>
  <si>
    <t>P&amp;L and BS</t>
  </si>
  <si>
    <t>4) Charts --&gt;</t>
  </si>
  <si>
    <t>Revenues&amp;Ebitda</t>
  </si>
  <si>
    <t>Emaar Properties 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</si>
</sst>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_);_(* \(#,##0.0\);_(* &quot;-&quot;?_);@_)"/>
    <numFmt numFmtId="165" formatCode="_(* #,##0_);_(* \(#,##0\);_(* &quot;-&quot;?_);@_)"/>
    <numFmt numFmtId="166" formatCode="0.0%"/>
    <numFmt numFmtId="167" formatCode="_(* #,##0_);_(* \(#,##0\);_(* &quot;-&quot;??_);_(@_)"/>
    <numFmt numFmtId="168" formatCode="_(* #,##0.0_);_(* \(#,##0.0\);_(* &quot;-&quot;?_);@_l"/>
    <numFmt numFmtId="169" formatCode="_(* #,##0_);_(* \(#,##0\);_(* &quot;-&quot;?_);@_l"/>
    <numFmt numFmtId="170" formatCode="_(* #,##0.00_);_(* \(#,##0.00\);_(* &quot;-&quot;??_);_(@_)"/>
    <numFmt numFmtId="171" formatCode="_(* #,##0.0_);_(* \(#,##0.0\);_(* &quot;-&quot;??_);_(@_)"/>
    <numFmt numFmtId="172" formatCode="0.0"/>
    <numFmt numFmtId="173" formatCode="_(* #,##0.00_);_(* \(#,##0.00\);_(* &quot;-&quot;?_);@_)"/>
    <numFmt numFmtId="174" formatCode="_(* #,##0.000_);_(* \(#,##0.000\);_(* &quot;-&quot;?_);@_)"/>
  </numFmts>
  <fonts count="27" x14ac:knownFonts="1">
    <font>
      <sz val="11"/>
      <color theme="1"/>
      <name val="Calibri"/>
      <family val="2"/>
      <scheme val="minor"/>
    </font>
    <font>
      <sz val="11"/>
      <color theme="1"/>
      <name val="Calibri"/>
      <family val="2"/>
      <scheme val="minor"/>
    </font>
    <font>
      <b/>
      <sz val="12"/>
      <color rgb="FF002060"/>
      <name val="Arial"/>
      <family val="2"/>
    </font>
    <font>
      <sz val="9"/>
      <color theme="1"/>
      <name val="Arial"/>
      <family val="2"/>
    </font>
    <font>
      <b/>
      <sz val="9"/>
      <color rgb="FF002060"/>
      <name val="Arial"/>
      <family val="2"/>
    </font>
    <font>
      <b/>
      <sz val="9"/>
      <color theme="3"/>
      <name val="Calibri"/>
      <family val="2"/>
      <scheme val="minor"/>
    </font>
    <font>
      <b/>
      <sz val="8"/>
      <color theme="0"/>
      <name val="Arial"/>
      <family val="2"/>
    </font>
    <font>
      <b/>
      <sz val="9"/>
      <color theme="0"/>
      <name val="Arial"/>
      <family val="2"/>
    </font>
    <font>
      <sz val="8"/>
      <color theme="1"/>
      <name val="Arial"/>
      <family val="2"/>
    </font>
    <font>
      <u/>
      <sz val="11"/>
      <color theme="10"/>
      <name val="Calibri"/>
      <family val="2"/>
      <scheme val="minor"/>
    </font>
    <font>
      <sz val="9"/>
      <color rgb="FF002060"/>
      <name val="Arial"/>
      <family val="2"/>
    </font>
    <font>
      <b/>
      <sz val="32"/>
      <color rgb="FF002060"/>
      <name val="Arial"/>
      <family val="2"/>
    </font>
    <font>
      <i/>
      <sz val="8"/>
      <color theme="1"/>
      <name val="Arial"/>
      <family val="2"/>
    </font>
    <font>
      <b/>
      <sz val="9"/>
      <color theme="1"/>
      <name val="Arial"/>
      <family val="2"/>
      <charset val="204"/>
    </font>
    <font>
      <b/>
      <sz val="9"/>
      <name val="Arial"/>
      <family val="2"/>
    </font>
    <font>
      <sz val="9"/>
      <name val="Arial"/>
      <family val="2"/>
    </font>
    <font>
      <sz val="9"/>
      <name val="Arial"/>
      <family val="2"/>
      <charset val="204"/>
    </font>
    <font>
      <sz val="8"/>
      <name val="Arial"/>
      <family val="2"/>
    </font>
    <font>
      <b/>
      <sz val="9"/>
      <color theme="0"/>
      <name val="Arial"/>
      <family val="2"/>
      <charset val="204"/>
    </font>
    <font>
      <sz val="9"/>
      <color theme="0"/>
      <name val="Arial"/>
      <family val="2"/>
    </font>
    <font>
      <b/>
      <sz val="9"/>
      <color theme="1"/>
      <name val="Arial"/>
      <family val="2"/>
    </font>
    <font>
      <b/>
      <i/>
      <sz val="9"/>
      <color theme="1"/>
      <name val="Arial"/>
      <family val="2"/>
    </font>
    <font>
      <i/>
      <sz val="9"/>
      <color theme="1"/>
      <name val="Arial"/>
      <family val="2"/>
    </font>
    <font>
      <b/>
      <i/>
      <sz val="9"/>
      <color rgb="FF002060"/>
      <name val="Arial"/>
      <family val="2"/>
    </font>
    <font>
      <sz val="9"/>
      <color rgb="FF000000"/>
      <name val="Arial"/>
      <family val="2"/>
    </font>
    <font>
      <b/>
      <sz val="8"/>
      <color theme="1"/>
      <name val="Arial"/>
      <family val="2"/>
    </font>
    <font>
      <sz val="8"/>
      <color rgb="FF002060"/>
      <name val="Arial"/>
      <family val="2"/>
    </font>
  </fonts>
  <fills count="6">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0" tint="-0.14999847407452621"/>
        <bgColor indexed="64"/>
      </patternFill>
    </fill>
    <fill>
      <patternFill patternType="lightGray">
        <bgColor theme="0"/>
      </patternFill>
    </fill>
  </fills>
  <borders count="17">
    <border>
      <left/>
      <right/>
      <top/>
      <bottom/>
      <diagonal/>
    </border>
    <border>
      <left/>
      <right/>
      <top/>
      <bottom style="medium">
        <color theme="4"/>
      </bottom>
      <diagonal/>
    </border>
    <border>
      <left/>
      <right/>
      <top/>
      <bottom style="medium">
        <color rgb="FF002060"/>
      </bottom>
      <diagonal/>
    </border>
    <border>
      <left/>
      <right/>
      <top style="thin">
        <color indexed="64"/>
      </top>
      <bottom/>
      <diagonal/>
    </border>
    <border>
      <left/>
      <right/>
      <top style="thin">
        <color rgb="FF002060"/>
      </top>
      <bottom style="medium">
        <color rgb="FF002060"/>
      </bottom>
      <diagonal/>
    </border>
    <border>
      <left/>
      <right/>
      <top/>
      <bottom style="thin">
        <color indexed="64"/>
      </bottom>
      <diagonal/>
    </border>
    <border>
      <left/>
      <right style="thin">
        <color indexed="64"/>
      </right>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0" fillId="0" borderId="0"/>
    <xf numFmtId="0" fontId="9" fillId="0" borderId="0" applyNumberFormat="0" applyFill="0" applyBorder="0" applyAlignment="0" applyProtection="0"/>
    <xf numFmtId="0" fontId="5" fillId="0" borderId="1" applyFill="0" applyProtection="0">
      <alignment horizontal="right" wrapText="1"/>
    </xf>
    <xf numFmtId="9" fontId="1" fillId="0" borderId="0" applyFont="0" applyFill="0" applyBorder="0" applyAlignment="0" applyProtection="0"/>
    <xf numFmtId="170" fontId="1" fillId="0" borderId="0" applyFont="0" applyFill="0" applyBorder="0" applyAlignment="0" applyProtection="0"/>
  </cellStyleXfs>
  <cellXfs count="203">
    <xf numFmtId="0" fontId="0" fillId="0" borderId="0" xfId="0"/>
    <xf numFmtId="0" fontId="2" fillId="2" borderId="0" xfId="0" applyFont="1" applyFill="1"/>
    <xf numFmtId="0" fontId="3" fillId="2" borderId="0" xfId="0" applyFont="1" applyFill="1"/>
    <xf numFmtId="0" fontId="4" fillId="2" borderId="0" xfId="0" applyFont="1" applyFill="1"/>
    <xf numFmtId="0" fontId="5" fillId="2" borderId="1" xfId="2" applyFill="1" applyAlignment="1">
      <alignment horizontal="left" wrapText="1"/>
    </xf>
    <xf numFmtId="0" fontId="6" fillId="3" borderId="0" xfId="0" applyFont="1" applyFill="1" applyAlignment="1">
      <alignment horizontal="left"/>
    </xf>
    <xf numFmtId="0" fontId="7" fillId="3" borderId="0" xfId="0" applyFont="1" applyFill="1"/>
    <xf numFmtId="0" fontId="11" fillId="2" borderId="0" xfId="0" applyFont="1" applyFill="1"/>
    <xf numFmtId="164" fontId="2" fillId="2" borderId="0" xfId="0" applyNumberFormat="1" applyFont="1" applyFill="1"/>
    <xf numFmtId="164" fontId="3" fillId="2" borderId="0" xfId="0" applyNumberFormat="1" applyFont="1" applyFill="1"/>
    <xf numFmtId="164" fontId="4" fillId="2" borderId="2" xfId="0" applyNumberFormat="1" applyFont="1" applyFill="1" applyBorder="1"/>
    <xf numFmtId="164" fontId="4" fillId="2" borderId="2" xfId="0" applyNumberFormat="1" applyFont="1" applyFill="1" applyBorder="1" applyAlignment="1">
      <alignment horizontal="right" wrapText="1"/>
    </xf>
    <xf numFmtId="164" fontId="4" fillId="2" borderId="0" xfId="0" applyNumberFormat="1" applyFont="1" applyFill="1" applyAlignment="1">
      <alignment horizontal="right" wrapText="1"/>
    </xf>
    <xf numFmtId="164" fontId="4" fillId="4" borderId="2" xfId="0" applyNumberFormat="1" applyFont="1" applyFill="1" applyBorder="1" applyAlignment="1">
      <alignment horizontal="right" wrapText="1"/>
    </xf>
    <xf numFmtId="165" fontId="3" fillId="2" borderId="0" xfId="0" applyNumberFormat="1" applyFont="1" applyFill="1"/>
    <xf numFmtId="165" fontId="3" fillId="4" borderId="0" xfId="0" applyNumberFormat="1" applyFont="1" applyFill="1"/>
    <xf numFmtId="166" fontId="3" fillId="2" borderId="0" xfId="3" applyNumberFormat="1" applyFont="1" applyFill="1"/>
    <xf numFmtId="9" fontId="3" fillId="4" borderId="0" xfId="3" applyFont="1" applyFill="1"/>
    <xf numFmtId="164" fontId="3" fillId="5" borderId="0" xfId="0" applyNumberFormat="1" applyFont="1" applyFill="1"/>
    <xf numFmtId="9" fontId="3" fillId="2" borderId="0" xfId="3" applyFont="1" applyFill="1"/>
    <xf numFmtId="164" fontId="12" fillId="2" borderId="0" xfId="0" applyNumberFormat="1" applyFont="1" applyFill="1"/>
    <xf numFmtId="164" fontId="3" fillId="4" borderId="0" xfId="0" applyNumberFormat="1" applyFont="1" applyFill="1"/>
    <xf numFmtId="166" fontId="12" fillId="2" borderId="0" xfId="3" applyNumberFormat="1" applyFont="1" applyFill="1"/>
    <xf numFmtId="164" fontId="4" fillId="2" borderId="2" xfId="0" applyNumberFormat="1" applyFont="1" applyFill="1" applyBorder="1" applyAlignment="1">
      <alignment wrapText="1"/>
    </xf>
    <xf numFmtId="164" fontId="4" fillId="2" borderId="3" xfId="0" applyNumberFormat="1" applyFont="1" applyFill="1" applyBorder="1"/>
    <xf numFmtId="165" fontId="4" fillId="2" borderId="3" xfId="0" applyNumberFormat="1" applyFont="1" applyFill="1" applyBorder="1"/>
    <xf numFmtId="164" fontId="4" fillId="2" borderId="0" xfId="0" applyNumberFormat="1" applyFont="1" applyFill="1"/>
    <xf numFmtId="165" fontId="10" fillId="2" borderId="0" xfId="0" applyNumberFormat="1" applyFont="1" applyFill="1"/>
    <xf numFmtId="164" fontId="7" fillId="3" borderId="0" xfId="0" applyNumberFormat="1" applyFont="1" applyFill="1"/>
    <xf numFmtId="165" fontId="7" fillId="3" borderId="0" xfId="0" applyNumberFormat="1" applyFont="1" applyFill="1"/>
    <xf numFmtId="164" fontId="4" fillId="2" borderId="4" xfId="0" applyNumberFormat="1" applyFont="1" applyFill="1" applyBorder="1"/>
    <xf numFmtId="165" fontId="4" fillId="2" borderId="4" xfId="0" applyNumberFormat="1" applyFont="1" applyFill="1" applyBorder="1"/>
    <xf numFmtId="168" fontId="2" fillId="2" borderId="0" xfId="0" applyNumberFormat="1" applyFont="1" applyFill="1"/>
    <xf numFmtId="168" fontId="3" fillId="2" borderId="0" xfId="0" applyNumberFormat="1" applyFont="1" applyFill="1"/>
    <xf numFmtId="169" fontId="3" fillId="2" borderId="0" xfId="0" applyNumberFormat="1" applyFont="1" applyFill="1"/>
    <xf numFmtId="168" fontId="3" fillId="4" borderId="0" xfId="0" applyNumberFormat="1" applyFont="1" applyFill="1"/>
    <xf numFmtId="9" fontId="3" fillId="2" borderId="0" xfId="3" applyFont="1" applyFill="1" applyBorder="1"/>
    <xf numFmtId="9" fontId="3" fillId="4" borderId="0" xfId="3" applyFont="1" applyFill="1" applyBorder="1"/>
    <xf numFmtId="165" fontId="10" fillId="2" borderId="3" xfId="0" applyNumberFormat="1" applyFont="1" applyFill="1" applyBorder="1"/>
    <xf numFmtId="164" fontId="4" fillId="4" borderId="3" xfId="0" applyNumberFormat="1" applyFont="1" applyFill="1" applyBorder="1"/>
    <xf numFmtId="164" fontId="4" fillId="4" borderId="0" xfId="0" applyNumberFormat="1" applyFont="1" applyFill="1"/>
    <xf numFmtId="168" fontId="3" fillId="2" borderId="3" xfId="0" applyNumberFormat="1" applyFont="1" applyFill="1" applyBorder="1"/>
    <xf numFmtId="168" fontId="10" fillId="2" borderId="0" xfId="0" applyNumberFormat="1" applyFont="1" applyFill="1"/>
    <xf numFmtId="168" fontId="4" fillId="2" borderId="0" xfId="0" applyNumberFormat="1" applyFont="1" applyFill="1"/>
    <xf numFmtId="168" fontId="4" fillId="4" borderId="0" xfId="0" applyNumberFormat="1" applyFont="1" applyFill="1"/>
    <xf numFmtId="164" fontId="7" fillId="2" borderId="0" xfId="0" applyNumberFormat="1" applyFont="1" applyFill="1"/>
    <xf numFmtId="168" fontId="14" fillId="2" borderId="0" xfId="0" applyNumberFormat="1" applyFont="1" applyFill="1"/>
    <xf numFmtId="168" fontId="15" fillId="2" borderId="0" xfId="0" applyNumberFormat="1" applyFont="1" applyFill="1"/>
    <xf numFmtId="164" fontId="16" fillId="2" borderId="0" xfId="0" applyNumberFormat="1" applyFont="1" applyFill="1"/>
    <xf numFmtId="168" fontId="8" fillId="2" borderId="0" xfId="0" applyNumberFormat="1" applyFont="1" applyFill="1"/>
    <xf numFmtId="165" fontId="8" fillId="2" borderId="0" xfId="0" applyNumberFormat="1" applyFont="1" applyFill="1"/>
    <xf numFmtId="168" fontId="17" fillId="2" borderId="0" xfId="0" applyNumberFormat="1" applyFont="1" applyFill="1"/>
    <xf numFmtId="171" fontId="8" fillId="2" borderId="0" xfId="4" applyNumberFormat="1" applyFont="1" applyFill="1"/>
    <xf numFmtId="166" fontId="18" fillId="3" borderId="0" xfId="3" applyNumberFormat="1" applyFont="1" applyFill="1"/>
    <xf numFmtId="170" fontId="3" fillId="4" borderId="0" xfId="4" applyFont="1" applyFill="1" applyBorder="1"/>
    <xf numFmtId="165" fontId="4" fillId="4" borderId="3" xfId="0" applyNumberFormat="1" applyFont="1" applyFill="1" applyBorder="1"/>
    <xf numFmtId="9" fontId="4" fillId="2" borderId="0" xfId="3" applyFont="1" applyFill="1"/>
    <xf numFmtId="164" fontId="13" fillId="2" borderId="3" xfId="0" applyNumberFormat="1" applyFont="1" applyFill="1" applyBorder="1"/>
    <xf numFmtId="165" fontId="19" fillId="2" borderId="0" xfId="0" applyNumberFormat="1" applyFont="1" applyFill="1"/>
    <xf numFmtId="9" fontId="13" fillId="2" borderId="5" xfId="3" applyFont="1" applyFill="1" applyBorder="1"/>
    <xf numFmtId="9" fontId="13" fillId="2" borderId="6" xfId="3" applyFont="1" applyFill="1" applyBorder="1"/>
    <xf numFmtId="167" fontId="3" fillId="2" borderId="0" xfId="4" applyNumberFormat="1" applyFont="1" applyFill="1"/>
    <xf numFmtId="167" fontId="3" fillId="4" borderId="0" xfId="4" applyNumberFormat="1" applyFont="1" applyFill="1"/>
    <xf numFmtId="166" fontId="3" fillId="4" borderId="0" xfId="3" applyNumberFormat="1" applyFont="1" applyFill="1"/>
    <xf numFmtId="172" fontId="15" fillId="2" borderId="0" xfId="0" applyNumberFormat="1" applyFont="1" applyFill="1" applyAlignment="1">
      <alignment horizontal="left"/>
    </xf>
    <xf numFmtId="172" fontId="15" fillId="2" borderId="0" xfId="0" applyNumberFormat="1" applyFont="1" applyFill="1"/>
    <xf numFmtId="0" fontId="15" fillId="2" borderId="0" xfId="0" applyFont="1" applyFill="1"/>
    <xf numFmtId="0" fontId="15" fillId="2" borderId="0" xfId="0" applyFont="1" applyFill="1" applyAlignment="1">
      <alignment horizontal="left"/>
    </xf>
    <xf numFmtId="0" fontId="15" fillId="2" borderId="0" xfId="0" applyFont="1" applyFill="1" applyAlignment="1">
      <alignment vertical="top" wrapText="1"/>
    </xf>
    <xf numFmtId="172" fontId="15" fillId="2" borderId="0" xfId="0" applyNumberFormat="1" applyFont="1" applyFill="1" applyAlignment="1">
      <alignment vertical="top" wrapText="1"/>
    </xf>
    <xf numFmtId="0" fontId="15" fillId="2" borderId="0" xfId="0" applyFont="1" applyFill="1" applyAlignment="1">
      <alignment vertical="top"/>
    </xf>
    <xf numFmtId="0" fontId="20" fillId="2" borderId="3" xfId="0" applyFont="1" applyFill="1" applyBorder="1"/>
    <xf numFmtId="167" fontId="20" fillId="2" borderId="3" xfId="4" applyNumberFormat="1" applyFont="1" applyFill="1" applyBorder="1"/>
    <xf numFmtId="167" fontId="20" fillId="4" borderId="3" xfId="4" applyNumberFormat="1" applyFont="1" applyFill="1" applyBorder="1"/>
    <xf numFmtId="0" fontId="4" fillId="2" borderId="2" xfId="0" applyFont="1" applyFill="1" applyBorder="1"/>
    <xf numFmtId="173" fontId="3" fillId="2" borderId="0" xfId="0" applyNumberFormat="1" applyFont="1" applyFill="1"/>
    <xf numFmtId="165" fontId="20" fillId="2" borderId="3" xfId="0" applyNumberFormat="1" applyFont="1" applyFill="1" applyBorder="1"/>
    <xf numFmtId="164" fontId="20" fillId="2" borderId="0" xfId="0" applyNumberFormat="1" applyFont="1" applyFill="1"/>
    <xf numFmtId="165" fontId="20" fillId="2" borderId="0" xfId="0" applyNumberFormat="1" applyFont="1" applyFill="1"/>
    <xf numFmtId="164" fontId="21" fillId="2" borderId="0" xfId="0" applyNumberFormat="1" applyFont="1" applyFill="1"/>
    <xf numFmtId="164" fontId="22" fillId="2" borderId="0" xfId="0" applyNumberFormat="1" applyFont="1" applyFill="1"/>
    <xf numFmtId="164" fontId="3" fillId="2" borderId="0" xfId="0" applyNumberFormat="1" applyFont="1" applyFill="1" applyAlignment="1">
      <alignment horizontal="left" indent="1"/>
    </xf>
    <xf numFmtId="165" fontId="3" fillId="2" borderId="3" xfId="0" applyNumberFormat="1" applyFont="1" applyFill="1" applyBorder="1"/>
    <xf numFmtId="165" fontId="20" fillId="2" borderId="5" xfId="0" applyNumberFormat="1" applyFont="1" applyFill="1" applyBorder="1"/>
    <xf numFmtId="165" fontId="3" fillId="2" borderId="5" xfId="0" applyNumberFormat="1" applyFont="1" applyFill="1" applyBorder="1"/>
    <xf numFmtId="174" fontId="3" fillId="2" borderId="0" xfId="0" applyNumberFormat="1" applyFont="1" applyFill="1"/>
    <xf numFmtId="164" fontId="4" fillId="2" borderId="5" xfId="0" applyNumberFormat="1" applyFont="1" applyFill="1" applyBorder="1"/>
    <xf numFmtId="164" fontId="4" fillId="2" borderId="5" xfId="0" applyNumberFormat="1" applyFont="1" applyFill="1" applyBorder="1" applyAlignment="1">
      <alignment horizontal="right" wrapText="1"/>
    </xf>
    <xf numFmtId="164" fontId="4" fillId="2" borderId="7" xfId="0" applyNumberFormat="1" applyFont="1" applyFill="1" applyBorder="1"/>
    <xf numFmtId="164" fontId="10" fillId="2" borderId="7" xfId="0" applyNumberFormat="1" applyFont="1" applyFill="1" applyBorder="1"/>
    <xf numFmtId="165" fontId="4" fillId="2" borderId="7" xfId="0" applyNumberFormat="1" applyFont="1" applyFill="1" applyBorder="1"/>
    <xf numFmtId="164" fontId="23" fillId="2" borderId="3" xfId="0" applyNumberFormat="1" applyFont="1" applyFill="1" applyBorder="1"/>
    <xf numFmtId="165" fontId="10" fillId="2" borderId="7" xfId="0" applyNumberFormat="1" applyFont="1" applyFill="1" applyBorder="1"/>
    <xf numFmtId="164" fontId="3" fillId="2" borderId="0" xfId="0" applyNumberFormat="1" applyFont="1" applyFill="1" applyAlignment="1">
      <alignment horizontal="left"/>
    </xf>
    <xf numFmtId="164" fontId="4" fillId="2" borderId="8" xfId="0" applyNumberFormat="1" applyFont="1" applyFill="1" applyBorder="1"/>
    <xf numFmtId="164" fontId="3" fillId="2" borderId="8" xfId="0" applyNumberFormat="1" applyFont="1" applyFill="1" applyBorder="1"/>
    <xf numFmtId="174" fontId="4" fillId="2" borderId="8" xfId="0" applyNumberFormat="1" applyFont="1" applyFill="1" applyBorder="1"/>
    <xf numFmtId="173" fontId="4" fillId="2" borderId="8" xfId="0" applyNumberFormat="1" applyFont="1" applyFill="1" applyBorder="1"/>
    <xf numFmtId="165" fontId="22" fillId="2" borderId="0" xfId="0" applyNumberFormat="1" applyFont="1" applyFill="1" applyAlignment="1">
      <alignment horizontal="right"/>
    </xf>
    <xf numFmtId="166" fontId="22" fillId="2" borderId="0" xfId="3" applyNumberFormat="1" applyFont="1" applyFill="1"/>
    <xf numFmtId="165" fontId="20" fillId="4" borderId="0" xfId="0" applyNumberFormat="1" applyFont="1" applyFill="1"/>
    <xf numFmtId="9" fontId="22" fillId="2" borderId="0" xfId="3" applyFont="1" applyFill="1"/>
    <xf numFmtId="167" fontId="20" fillId="4" borderId="0" xfId="0" applyNumberFormat="1" applyFont="1" applyFill="1"/>
    <xf numFmtId="165" fontId="22" fillId="2" borderId="0" xfId="3" applyNumberFormat="1" applyFont="1" applyFill="1" applyAlignment="1">
      <alignment horizontal="right"/>
    </xf>
    <xf numFmtId="10" fontId="22" fillId="2" borderId="0" xfId="3" applyNumberFormat="1" applyFont="1" applyFill="1" applyAlignment="1">
      <alignment horizontal="right"/>
    </xf>
    <xf numFmtId="164" fontId="3" fillId="2" borderId="12" xfId="0" applyNumberFormat="1" applyFont="1" applyFill="1" applyBorder="1"/>
    <xf numFmtId="164" fontId="3" fillId="2" borderId="10" xfId="0" applyNumberFormat="1" applyFont="1" applyFill="1" applyBorder="1"/>
    <xf numFmtId="164" fontId="4" fillId="2" borderId="0" xfId="0" applyNumberFormat="1" applyFont="1" applyFill="1" applyAlignment="1">
      <alignment vertical="center"/>
    </xf>
    <xf numFmtId="166" fontId="22" fillId="4" borderId="0" xfId="3" applyNumberFormat="1" applyFont="1" applyFill="1"/>
    <xf numFmtId="164" fontId="4" fillId="2" borderId="9" xfId="0" applyNumberFormat="1" applyFont="1" applyFill="1" applyBorder="1" applyAlignment="1">
      <alignment horizontal="left" vertical="center"/>
    </xf>
    <xf numFmtId="164" fontId="20" fillId="2" borderId="9" xfId="0" applyNumberFormat="1" applyFont="1" applyFill="1" applyBorder="1" applyAlignment="1">
      <alignment horizontal="left" vertical="center"/>
    </xf>
    <xf numFmtId="166" fontId="3" fillId="2" borderId="9" xfId="0" applyNumberFormat="1" applyFont="1" applyFill="1" applyBorder="1" applyAlignment="1">
      <alignment horizontal="right"/>
    </xf>
    <xf numFmtId="1" fontId="3" fillId="2" borderId="9" xfId="0" applyNumberFormat="1" applyFont="1" applyFill="1" applyBorder="1" applyAlignment="1">
      <alignment horizontal="right"/>
    </xf>
    <xf numFmtId="164" fontId="20" fillId="2" borderId="9" xfId="0" applyNumberFormat="1" applyFont="1" applyFill="1" applyBorder="1" applyAlignment="1">
      <alignment horizontal="left"/>
    </xf>
    <xf numFmtId="164" fontId="20" fillId="2" borderId="9" xfId="0" applyNumberFormat="1" applyFont="1" applyFill="1" applyBorder="1"/>
    <xf numFmtId="164" fontId="4" fillId="2" borderId="9" xfId="0" applyNumberFormat="1" applyFont="1" applyFill="1" applyBorder="1" applyAlignment="1">
      <alignment horizontal="left"/>
    </xf>
    <xf numFmtId="164" fontId="3" fillId="2" borderId="3" xfId="0" applyNumberFormat="1" applyFont="1" applyFill="1" applyBorder="1"/>
    <xf numFmtId="164" fontId="3" fillId="2" borderId="11" xfId="0" applyNumberFormat="1" applyFont="1" applyFill="1" applyBorder="1"/>
    <xf numFmtId="164" fontId="3" fillId="2" borderId="16" xfId="0" applyNumberFormat="1" applyFont="1" applyFill="1" applyBorder="1"/>
    <xf numFmtId="164" fontId="3" fillId="2" borderId="6" xfId="0" applyNumberFormat="1" applyFont="1" applyFill="1" applyBorder="1"/>
    <xf numFmtId="164" fontId="3" fillId="2" borderId="5" xfId="0" applyNumberFormat="1" applyFont="1" applyFill="1" applyBorder="1"/>
    <xf numFmtId="164" fontId="3" fillId="2" borderId="13" xfId="0" applyNumberFormat="1" applyFont="1" applyFill="1" applyBorder="1"/>
    <xf numFmtId="164" fontId="4" fillId="2" borderId="9" xfId="0" applyNumberFormat="1" applyFont="1" applyFill="1" applyBorder="1" applyAlignment="1">
      <alignment horizontal="center" vertical="center" wrapText="1"/>
    </xf>
    <xf numFmtId="165" fontId="4" fillId="2" borderId="9" xfId="0" applyNumberFormat="1" applyFont="1" applyFill="1" applyBorder="1" applyAlignment="1">
      <alignment horizontal="left"/>
    </xf>
    <xf numFmtId="165" fontId="4" fillId="2" borderId="9" xfId="0" applyNumberFormat="1" applyFont="1" applyFill="1" applyBorder="1" applyAlignment="1">
      <alignment horizontal="left" vertical="top"/>
    </xf>
    <xf numFmtId="165" fontId="4" fillId="2" borderId="9" xfId="0" applyNumberFormat="1" applyFont="1" applyFill="1" applyBorder="1" applyAlignment="1">
      <alignment horizontal="left" vertical="center"/>
    </xf>
    <xf numFmtId="166" fontId="12" fillId="2" borderId="0" xfId="3" applyNumberFormat="1" applyFont="1" applyFill="1" applyBorder="1"/>
    <xf numFmtId="166" fontId="22" fillId="2" borderId="0" xfId="3" applyNumberFormat="1" applyFont="1" applyFill="1" applyBorder="1"/>
    <xf numFmtId="164" fontId="2" fillId="2" borderId="3" xfId="0" applyNumberFormat="1" applyFont="1" applyFill="1" applyBorder="1"/>
    <xf numFmtId="1" fontId="3" fillId="4" borderId="0" xfId="3" applyNumberFormat="1" applyFont="1" applyFill="1"/>
    <xf numFmtId="1" fontId="22" fillId="4" borderId="0" xfId="3" applyNumberFormat="1" applyFont="1" applyFill="1"/>
    <xf numFmtId="9" fontId="22" fillId="4" borderId="0" xfId="3" applyFont="1" applyFill="1"/>
    <xf numFmtId="168" fontId="4" fillId="2" borderId="7" xfId="0" applyNumberFormat="1" applyFont="1" applyFill="1" applyBorder="1"/>
    <xf numFmtId="168" fontId="3" fillId="2" borderId="0" xfId="0" applyNumberFormat="1" applyFont="1" applyFill="1" applyAlignment="1">
      <alignment horizontal="left" indent="1"/>
    </xf>
    <xf numFmtId="168" fontId="3" fillId="2" borderId="8" xfId="0" applyNumberFormat="1" applyFont="1" applyFill="1" applyBorder="1"/>
    <xf numFmtId="9" fontId="3" fillId="2" borderId="9" xfId="0" applyNumberFormat="1" applyFont="1" applyFill="1" applyBorder="1" applyAlignment="1">
      <alignment horizontal="right"/>
    </xf>
    <xf numFmtId="168" fontId="8" fillId="2" borderId="0" xfId="0" applyNumberFormat="1" applyFont="1" applyFill="1" applyAlignment="1">
      <alignment horizontal="right"/>
    </xf>
    <xf numFmtId="168" fontId="4" fillId="2" borderId="0" xfId="0" applyNumberFormat="1" applyFont="1" applyFill="1" applyAlignment="1">
      <alignment vertical="center" wrapText="1"/>
    </xf>
    <xf numFmtId="10" fontId="3" fillId="2" borderId="0" xfId="0" applyNumberFormat="1" applyFont="1" applyFill="1"/>
    <xf numFmtId="168" fontId="4" fillId="2" borderId="8" xfId="0" applyNumberFormat="1" applyFont="1" applyFill="1" applyBorder="1"/>
    <xf numFmtId="0" fontId="20" fillId="2" borderId="0" xfId="0" applyFont="1" applyFill="1"/>
    <xf numFmtId="9" fontId="3" fillId="2" borderId="0" xfId="0" applyNumberFormat="1" applyFont="1" applyFill="1"/>
    <xf numFmtId="164" fontId="3" fillId="2" borderId="0" xfId="4" applyNumberFormat="1" applyFont="1" applyFill="1"/>
    <xf numFmtId="0" fontId="25" fillId="2" borderId="0" xfId="0" applyFont="1" applyFill="1" applyAlignment="1">
      <alignment horizontal="left"/>
    </xf>
    <xf numFmtId="0" fontId="26" fillId="2" borderId="0" xfId="1" applyFont="1" applyFill="1"/>
    <xf numFmtId="164" fontId="3" fillId="2" borderId="14" xfId="0" applyNumberFormat="1" applyFont="1" applyFill="1" applyBorder="1" applyAlignment="1">
      <alignment horizontal="left" vertical="top"/>
    </xf>
    <xf numFmtId="164" fontId="3" fillId="2" borderId="15" xfId="0" applyNumberFormat="1" applyFont="1" applyFill="1" applyBorder="1" applyAlignment="1">
      <alignment horizontal="left" vertical="top"/>
    </xf>
    <xf numFmtId="164" fontId="3" fillId="2" borderId="9" xfId="0" applyNumberFormat="1" applyFont="1" applyFill="1" applyBorder="1" applyAlignment="1">
      <alignment horizontal="left" vertical="top" wrapText="1"/>
    </xf>
    <xf numFmtId="164" fontId="4" fillId="2" borderId="14" xfId="0" applyNumberFormat="1" applyFont="1" applyFill="1" applyBorder="1" applyAlignment="1">
      <alignment horizontal="left"/>
    </xf>
    <xf numFmtId="164" fontId="4" fillId="2" borderId="8" xfId="0" applyNumberFormat="1" applyFont="1" applyFill="1" applyBorder="1" applyAlignment="1">
      <alignment horizontal="left"/>
    </xf>
    <xf numFmtId="164" fontId="4" fillId="2" borderId="15" xfId="0" applyNumberFormat="1" applyFont="1" applyFill="1" applyBorder="1" applyAlignment="1">
      <alignment horizontal="left"/>
    </xf>
    <xf numFmtId="164" fontId="3" fillId="2" borderId="8" xfId="0" applyNumberFormat="1" applyFont="1" applyFill="1" applyBorder="1" applyAlignment="1">
      <alignment horizontal="left" vertical="top"/>
    </xf>
    <xf numFmtId="164" fontId="3" fillId="2" borderId="14" xfId="0" applyNumberFormat="1" applyFont="1" applyFill="1" applyBorder="1" applyAlignment="1">
      <alignment horizontal="left" vertical="top" wrapText="1"/>
    </xf>
    <xf numFmtId="164" fontId="3" fillId="2" borderId="8" xfId="0" applyNumberFormat="1" applyFont="1" applyFill="1" applyBorder="1" applyAlignment="1">
      <alignment horizontal="left" vertical="top" wrapText="1"/>
    </xf>
    <xf numFmtId="164" fontId="3" fillId="2" borderId="15" xfId="0" applyNumberFormat="1" applyFont="1" applyFill="1" applyBorder="1" applyAlignment="1">
      <alignment horizontal="left" vertical="top" wrapText="1"/>
    </xf>
    <xf numFmtId="164" fontId="3" fillId="2" borderId="10" xfId="0" applyNumberFormat="1" applyFont="1" applyFill="1" applyBorder="1" applyAlignment="1">
      <alignment horizontal="left" vertical="top" wrapText="1"/>
    </xf>
    <xf numFmtId="164" fontId="3" fillId="2" borderId="3" xfId="0" applyNumberFormat="1" applyFont="1" applyFill="1" applyBorder="1" applyAlignment="1">
      <alignment horizontal="left" vertical="top" wrapText="1"/>
    </xf>
    <xf numFmtId="164" fontId="3" fillId="2" borderId="11" xfId="0" applyNumberFormat="1" applyFont="1" applyFill="1" applyBorder="1" applyAlignment="1">
      <alignment horizontal="left" vertical="top" wrapText="1"/>
    </xf>
    <xf numFmtId="164" fontId="4" fillId="2" borderId="9" xfId="0" applyNumberFormat="1" applyFont="1" applyFill="1" applyBorder="1" applyAlignment="1">
      <alignment horizontal="center"/>
    </xf>
    <xf numFmtId="165" fontId="3" fillId="2" borderId="14" xfId="0" applyNumberFormat="1" applyFont="1" applyFill="1" applyBorder="1" applyAlignment="1">
      <alignment horizontal="left" vertical="top"/>
    </xf>
    <xf numFmtId="165" fontId="3" fillId="2" borderId="15" xfId="0" applyNumberFormat="1" applyFont="1" applyFill="1" applyBorder="1" applyAlignment="1">
      <alignment horizontal="left" vertical="top"/>
    </xf>
    <xf numFmtId="49" fontId="3" fillId="2" borderId="9" xfId="0" applyNumberFormat="1" applyFont="1" applyFill="1" applyBorder="1" applyAlignment="1">
      <alignment horizontal="left" wrapText="1"/>
    </xf>
    <xf numFmtId="164" fontId="3" fillId="2" borderId="9" xfId="0" applyNumberFormat="1" applyFont="1" applyFill="1" applyBorder="1" applyAlignment="1">
      <alignment horizontal="left" vertical="center" wrapText="1"/>
    </xf>
    <xf numFmtId="164" fontId="7" fillId="3" borderId="9" xfId="0" applyNumberFormat="1" applyFont="1" applyFill="1" applyBorder="1" applyAlignment="1">
      <alignment horizontal="center"/>
    </xf>
    <xf numFmtId="164" fontId="19" fillId="3" borderId="9" xfId="0" applyNumberFormat="1" applyFont="1" applyFill="1" applyBorder="1" applyAlignment="1">
      <alignment horizontal="center"/>
    </xf>
    <xf numFmtId="164" fontId="4" fillId="2" borderId="9" xfId="0" applyNumberFormat="1" applyFont="1" applyFill="1" applyBorder="1" applyAlignment="1">
      <alignment horizontal="left" vertical="center" wrapText="1"/>
    </xf>
    <xf numFmtId="164" fontId="7" fillId="3" borderId="14" xfId="0" applyNumberFormat="1" applyFont="1" applyFill="1" applyBorder="1" applyAlignment="1">
      <alignment horizontal="center"/>
    </xf>
    <xf numFmtId="164" fontId="7" fillId="3" borderId="8" xfId="0" applyNumberFormat="1" applyFont="1" applyFill="1" applyBorder="1" applyAlignment="1">
      <alignment horizontal="center"/>
    </xf>
    <xf numFmtId="164" fontId="7" fillId="3" borderId="15" xfId="0" applyNumberFormat="1" applyFont="1" applyFill="1" applyBorder="1" applyAlignment="1">
      <alignment horizontal="center"/>
    </xf>
    <xf numFmtId="164" fontId="3" fillId="2" borderId="14" xfId="0" applyNumberFormat="1" applyFont="1" applyFill="1" applyBorder="1" applyAlignment="1">
      <alignment horizontal="center" vertical="center" wrapText="1"/>
    </xf>
    <xf numFmtId="164" fontId="3" fillId="2" borderId="8" xfId="0" applyNumberFormat="1" applyFont="1" applyFill="1" applyBorder="1" applyAlignment="1">
      <alignment horizontal="center" vertical="center" wrapText="1"/>
    </xf>
    <xf numFmtId="164" fontId="3" fillId="2" borderId="15" xfId="0" applyNumberFormat="1" applyFont="1" applyFill="1" applyBorder="1" applyAlignment="1">
      <alignment horizontal="center" vertical="center" wrapText="1"/>
    </xf>
    <xf numFmtId="49" fontId="3" fillId="2" borderId="14" xfId="0" applyNumberFormat="1" applyFont="1" applyFill="1" applyBorder="1" applyAlignment="1">
      <alignment horizontal="left" wrapText="1"/>
    </xf>
    <xf numFmtId="49" fontId="3" fillId="2" borderId="8" xfId="0" applyNumberFormat="1" applyFont="1" applyFill="1" applyBorder="1" applyAlignment="1">
      <alignment horizontal="left" wrapText="1"/>
    </xf>
    <xf numFmtId="49" fontId="3" fillId="2" borderId="15" xfId="0" applyNumberFormat="1" applyFont="1" applyFill="1" applyBorder="1" applyAlignment="1">
      <alignment horizontal="left" wrapText="1"/>
    </xf>
    <xf numFmtId="0" fontId="24" fillId="0" borderId="9" xfId="0" applyFont="1" applyBorder="1" applyAlignment="1">
      <alignment horizontal="left" wrapText="1"/>
    </xf>
    <xf numFmtId="164" fontId="3" fillId="2" borderId="14" xfId="0" applyNumberFormat="1" applyFont="1" applyFill="1" applyBorder="1" applyAlignment="1">
      <alignment horizontal="left"/>
    </xf>
    <xf numFmtId="164" fontId="3" fillId="2" borderId="8" xfId="0" applyNumberFormat="1" applyFont="1" applyFill="1" applyBorder="1" applyAlignment="1">
      <alignment horizontal="left"/>
    </xf>
    <xf numFmtId="164" fontId="3" fillId="2" borderId="15" xfId="0" applyNumberFormat="1" applyFont="1" applyFill="1" applyBorder="1" applyAlignment="1">
      <alignment horizontal="left"/>
    </xf>
    <xf numFmtId="164" fontId="3" fillId="2" borderId="9" xfId="0" applyNumberFormat="1" applyFont="1" applyFill="1" applyBorder="1" applyAlignment="1">
      <alignment horizontal="left" wrapText="1"/>
    </xf>
    <xf numFmtId="164" fontId="3" fillId="2" borderId="9" xfId="0" applyNumberFormat="1" applyFont="1" applyFill="1" applyBorder="1" applyAlignment="1">
      <alignment horizontal="left"/>
    </xf>
    <xf numFmtId="49" fontId="3" fillId="2" borderId="9" xfId="0" applyNumberFormat="1" applyFont="1" applyFill="1" applyBorder="1" applyAlignment="1">
      <alignment horizontal="left"/>
    </xf>
    <xf numFmtId="49" fontId="3" fillId="2" borderId="0" xfId="0" applyNumberFormat="1" applyFont="1" applyFill="1" applyAlignment="1">
      <alignment horizontal="center" wrapText="1"/>
    </xf>
    <xf numFmtId="168" fontId="3" fillId="2" borderId="10" xfId="0" applyNumberFormat="1" applyFont="1" applyFill="1" applyBorder="1" applyAlignment="1">
      <alignment horizontal="left" vertical="center" wrapText="1"/>
    </xf>
    <xf numFmtId="168" fontId="3" fillId="2" borderId="11" xfId="0" applyNumberFormat="1" applyFont="1" applyFill="1" applyBorder="1" applyAlignment="1">
      <alignment horizontal="left" vertical="center" wrapText="1"/>
    </xf>
    <xf numFmtId="168" fontId="3" fillId="2" borderId="16" xfId="0" applyNumberFormat="1" applyFont="1" applyFill="1" applyBorder="1" applyAlignment="1">
      <alignment horizontal="left" vertical="center" wrapText="1"/>
    </xf>
    <xf numFmtId="168" fontId="3" fillId="2" borderId="6" xfId="0" applyNumberFormat="1" applyFont="1" applyFill="1" applyBorder="1" applyAlignment="1">
      <alignment horizontal="left" vertical="center" wrapText="1"/>
    </xf>
    <xf numFmtId="168" fontId="3" fillId="2" borderId="12" xfId="0" applyNumberFormat="1" applyFont="1" applyFill="1" applyBorder="1" applyAlignment="1">
      <alignment horizontal="left" vertical="center" wrapText="1"/>
    </xf>
    <xf numFmtId="168" fontId="3" fillId="2" borderId="13" xfId="0" applyNumberFormat="1" applyFont="1" applyFill="1" applyBorder="1" applyAlignment="1">
      <alignment horizontal="left" vertical="center" wrapText="1"/>
    </xf>
    <xf numFmtId="168" fontId="3" fillId="2" borderId="0" xfId="0" applyNumberFormat="1" applyFont="1" applyFill="1" applyAlignment="1">
      <alignment horizontal="center" vertical="center" wrapText="1"/>
    </xf>
    <xf numFmtId="164" fontId="18" fillId="3" borderId="0" xfId="0" applyNumberFormat="1" applyFont="1" applyFill="1" applyAlignment="1">
      <alignment horizontal="center"/>
    </xf>
    <xf numFmtId="0" fontId="21" fillId="2" borderId="14" xfId="0" applyFont="1" applyFill="1" applyBorder="1" applyAlignment="1">
      <alignment horizontal="center" wrapText="1"/>
    </xf>
    <xf numFmtId="0" fontId="21" fillId="2" borderId="8" xfId="0" applyFont="1" applyFill="1" applyBorder="1" applyAlignment="1">
      <alignment horizontal="center" wrapText="1"/>
    </xf>
    <xf numFmtId="0" fontId="21" fillId="2" borderId="15" xfId="0" applyFont="1" applyFill="1" applyBorder="1" applyAlignment="1">
      <alignment horizontal="center" wrapText="1"/>
    </xf>
    <xf numFmtId="0" fontId="21" fillId="2" borderId="10" xfId="0" applyFont="1" applyFill="1" applyBorder="1" applyAlignment="1">
      <alignment horizontal="center" wrapText="1"/>
    </xf>
    <xf numFmtId="0" fontId="21" fillId="2" borderId="3" xfId="0" applyFont="1" applyFill="1" applyBorder="1" applyAlignment="1">
      <alignment horizontal="center" wrapText="1"/>
    </xf>
    <xf numFmtId="0" fontId="21" fillId="2" borderId="11" xfId="0" applyFont="1" applyFill="1" applyBorder="1" applyAlignment="1">
      <alignment horizontal="center" wrapText="1"/>
    </xf>
    <xf numFmtId="0" fontId="21" fillId="2" borderId="16" xfId="0" applyFont="1" applyFill="1" applyBorder="1" applyAlignment="1">
      <alignment horizontal="center" wrapText="1"/>
    </xf>
    <xf numFmtId="0" fontId="21" fillId="2" borderId="0" xfId="0" applyFont="1" applyFill="1" applyAlignment="1">
      <alignment horizontal="center" wrapText="1"/>
    </xf>
    <xf numFmtId="0" fontId="21" fillId="2" borderId="6" xfId="0" applyFont="1" applyFill="1" applyBorder="1" applyAlignment="1">
      <alignment horizontal="center" wrapText="1"/>
    </xf>
    <xf numFmtId="0" fontId="21" fillId="2" borderId="12" xfId="0" applyFont="1" applyFill="1" applyBorder="1" applyAlignment="1">
      <alignment horizontal="center" wrapText="1"/>
    </xf>
    <xf numFmtId="0" fontId="21" fillId="2" borderId="5" xfId="0" applyFont="1" applyFill="1" applyBorder="1" applyAlignment="1">
      <alignment horizontal="center" wrapText="1"/>
    </xf>
    <xf numFmtId="0" fontId="21" fillId="2" borderId="13" xfId="0" applyFont="1" applyFill="1" applyBorder="1" applyAlignment="1">
      <alignment horizontal="center" wrapText="1"/>
    </xf>
  </cellXfs>
  <cellStyles count="5">
    <cellStyle name="Comma 2" xfId="4" xr:uid="{711E7410-1D13-C040-82AF-CAB4C4AA60A0}"/>
    <cellStyle name="Hyperlink" xfId="1" builtinId="8"/>
    <cellStyle name="Normal" xfId="0" builtinId="0"/>
    <cellStyle name="Per cent 2" xfId="3" xr:uid="{BA83A8F3-2B34-684F-98A3-D2DD02F13A3B}"/>
    <cellStyle name="Smart Subtitle 1" xfId="2" xr:uid="{3A8AA9D0-ABBF-AC49-A70F-9265A02355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1</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A790-2449-8FC0-804CABE966D0}"/>
              </c:ext>
            </c:extLst>
          </c:dPt>
          <c:dLbls>
            <c:dLbl>
              <c:idx val="0"/>
              <c:layout>
                <c:manualLayout>
                  <c:x val="-1.4856081708449397E-2"/>
                  <c:y val="-3.8878046813218797E-2"/>
                </c:manualLayout>
              </c:layout>
              <c:tx>
                <c:rich>
                  <a:bodyPr/>
                  <a:lstStyle/>
                  <a:p>
                    <a:r>
                      <a:rPr lang="en-US"/>
                      <a:t>23%</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A790-2449-8FC0-804CABE966D0}"/>
                </c:ext>
              </c:extLst>
            </c:dLbl>
            <c:dLbl>
              <c:idx val="1"/>
              <c:layout>
                <c:manualLayout>
                  <c:x val="3.9170181466448663E-2"/>
                  <c:y val="3.8416893298194491E-2"/>
                </c:manualLayout>
              </c:layout>
              <c:tx>
                <c:rich>
                  <a:bodyPr/>
                  <a:lstStyle/>
                  <a:p>
                    <a:r>
                      <a:rPr lang="en-US"/>
                      <a:t>77%</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A790-2449-8FC0-804CABE966D0}"/>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0.30085866160702229</c:v>
              </c:pt>
              <c:pt idx="1">
                <c:v>0.69914133839297776</c:v>
              </c:pt>
            </c:numLit>
          </c:val>
          <c:extLst>
            <c:ext xmlns:c16="http://schemas.microsoft.com/office/drawing/2014/chart" uri="{C3380CC4-5D6E-409C-BE32-E72D297353CC}">
              <c16:uniqueId val="{00000003-A790-2449-8FC0-804CABE966D0}"/>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64373676235707755"/>
          <c:y val="0.36810746454991944"/>
          <c:w val="0.3322392211930919"/>
          <c:h val="0.26378507090016112"/>
        </c:manualLayout>
      </c:layout>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2</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01E4-C949-9D31-771349C64BBC}"/>
              </c:ext>
            </c:extLst>
          </c:dPt>
          <c:dLbls>
            <c:dLbl>
              <c:idx val="0"/>
              <c:layout>
                <c:manualLayout>
                  <c:x val="-1.4856081708449397E-2"/>
                  <c:y val="-3.8878046813218797E-2"/>
                </c:manualLayout>
              </c:layout>
              <c:tx>
                <c:rich>
                  <a:bodyPr/>
                  <a:lstStyle/>
                  <a:p>
                    <a:r>
                      <a:rPr lang="en-US"/>
                      <a:t>26%</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01E4-C949-9D31-771349C64BBC}"/>
                </c:ext>
              </c:extLst>
            </c:dLbl>
            <c:dLbl>
              <c:idx val="1"/>
              <c:layout>
                <c:manualLayout>
                  <c:x val="3.3426183844011144E-2"/>
                  <c:y val="3.284973584495423E-2"/>
                </c:manualLayout>
              </c:layout>
              <c:tx>
                <c:rich>
                  <a:bodyPr/>
                  <a:lstStyle/>
                  <a:p>
                    <a:r>
                      <a:rPr lang="en-US"/>
                      <a:t>74%</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01E4-C949-9D31-771349C64BBC}"/>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0.31591165336933186</c:v>
              </c:pt>
              <c:pt idx="1">
                <c:v>0.6840883466306682</c:v>
              </c:pt>
            </c:numLit>
          </c:val>
          <c:extLst>
            <c:ext xmlns:c16="http://schemas.microsoft.com/office/drawing/2014/chart" uri="{C3380CC4-5D6E-409C-BE32-E72D297353CC}">
              <c16:uniqueId val="{00000003-01E4-C949-9D31-771349C64BBC}"/>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solidFill>
                  <a:srgbClr val="002060"/>
                </a:solidFill>
              </a:rPr>
              <a:t>Enterprise Value: Scenario 3</a:t>
            </a:r>
            <a:endParaRPr lang="en-US">
              <a:solidFill>
                <a:srgbClr val="002060"/>
              </a:solidFill>
            </a:endParaRPr>
          </a:p>
        </c:rich>
      </c:tx>
      <c:layout>
        <c:manualLayout>
          <c:xMode val="edge"/>
          <c:yMode val="edge"/>
          <c:x val="2.9312686889069208E-2"/>
          <c:y val="3.3402944719441566E-2"/>
        </c:manualLayout>
      </c:layout>
      <c:overlay val="1"/>
    </c:title>
    <c:autoTitleDeleted val="0"/>
    <c:plotArea>
      <c:layout>
        <c:manualLayout>
          <c:layoutTarget val="inner"/>
          <c:xMode val="edge"/>
          <c:yMode val="edge"/>
          <c:x val="0.12832203773971149"/>
          <c:y val="0.16827588202185131"/>
          <c:w val="0.47231870389460373"/>
          <c:h val="0.70798549558221946"/>
        </c:manualLayout>
      </c:layout>
      <c:doughnutChart>
        <c:varyColors val="1"/>
        <c:ser>
          <c:idx val="0"/>
          <c:order val="0"/>
          <c:dPt>
            <c:idx val="1"/>
            <c:bubble3D val="0"/>
            <c:spPr>
              <a:solidFill>
                <a:srgbClr val="002060"/>
              </a:solidFill>
            </c:spPr>
            <c:extLst>
              <c:ext xmlns:c16="http://schemas.microsoft.com/office/drawing/2014/chart" uri="{C3380CC4-5D6E-409C-BE32-E72D297353CC}">
                <c16:uniqueId val="{00000001-7323-D24F-BFFC-8A909957E331}"/>
              </c:ext>
            </c:extLst>
          </c:dPt>
          <c:dLbls>
            <c:dLbl>
              <c:idx val="0"/>
              <c:layout>
                <c:manualLayout>
                  <c:x val="-1.4856081708449397E-2"/>
                  <c:y val="-3.8878046813218797E-2"/>
                </c:manualLayout>
              </c:layout>
              <c:tx>
                <c:rich>
                  <a:bodyPr/>
                  <a:lstStyle/>
                  <a:p>
                    <a:r>
                      <a:rPr lang="en-US"/>
                      <a:t>32%</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7323-D24F-BFFC-8A909957E331}"/>
                </c:ext>
              </c:extLst>
            </c:dLbl>
            <c:dLbl>
              <c:idx val="1"/>
              <c:layout>
                <c:manualLayout>
                  <c:x val="4.456824512534819E-2"/>
                  <c:y val="6.6252680564395788E-2"/>
                </c:manualLayout>
              </c:layout>
              <c:tx>
                <c:rich>
                  <a:bodyPr/>
                  <a:lstStyle/>
                  <a:p>
                    <a:r>
                      <a:rPr lang="en-US"/>
                      <a:t>68%</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7323-D24F-BFFC-8A909957E331}"/>
                </c:ext>
              </c:extLst>
            </c:dLbl>
            <c:numFmt formatCode="0.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CFs in Forecast period</c:v>
              </c:pt>
              <c:pt idx="1">
                <c:v>Continuing Value</c:v>
              </c:pt>
            </c:strLit>
          </c:cat>
          <c:val>
            <c:numLit>
              <c:formatCode>General</c:formatCode>
              <c:ptCount val="2"/>
              <c:pt idx="0">
                <c:v>0.33470503116615574</c:v>
              </c:pt>
              <c:pt idx="1">
                <c:v>0.6652949688338442</c:v>
              </c:pt>
            </c:numLit>
          </c:val>
          <c:extLst>
            <c:ext xmlns:c16="http://schemas.microsoft.com/office/drawing/2014/chart" uri="{C3380CC4-5D6E-409C-BE32-E72D297353CC}">
              <c16:uniqueId val="{00000003-7323-D24F-BFFC-8A909957E331}"/>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rtl="0">
            <a:defRPr/>
          </a:pPr>
          <a:endParaRPr lang="en-US"/>
        </a:p>
      </c:txPr>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'Revenues&amp;Ebitda'!$B$4</c:f>
              <c:strCache>
                <c:ptCount val="1"/>
                <c:pt idx="0">
                  <c:v>Revenues</c:v>
                </c:pt>
              </c:strCache>
            </c:strRef>
          </c:tx>
          <c:spPr>
            <a:solidFill>
              <a:srgbClr val="002060"/>
            </a:solidFill>
          </c:spPr>
          <c:invertIfNegative val="0"/>
          <c:dPt>
            <c:idx val="4"/>
            <c:invertIfNegative val="0"/>
            <c:bubble3D val="0"/>
            <c:spPr>
              <a:solidFill>
                <a:schemeClr val="accent1">
                  <a:lumMod val="75000"/>
                </a:schemeClr>
              </a:solidFill>
            </c:spPr>
            <c:extLst>
              <c:ext xmlns:c16="http://schemas.microsoft.com/office/drawing/2014/chart" uri="{C3380CC4-5D6E-409C-BE32-E72D297353CC}">
                <c16:uniqueId val="{00000001-4757-F747-858F-4F036593F080}"/>
              </c:ext>
            </c:extLst>
          </c:dPt>
          <c:dPt>
            <c:idx val="5"/>
            <c:invertIfNegative val="0"/>
            <c:bubble3D val="0"/>
            <c:spPr>
              <a:solidFill>
                <a:schemeClr val="accent1">
                  <a:lumMod val="75000"/>
                </a:schemeClr>
              </a:solidFill>
            </c:spPr>
            <c:extLst>
              <c:ext xmlns:c16="http://schemas.microsoft.com/office/drawing/2014/chart" uri="{C3380CC4-5D6E-409C-BE32-E72D297353CC}">
                <c16:uniqueId val="{00000003-4757-F747-858F-4F036593F080}"/>
              </c:ext>
            </c:extLst>
          </c:dPt>
          <c:dPt>
            <c:idx val="6"/>
            <c:invertIfNegative val="0"/>
            <c:bubble3D val="0"/>
            <c:spPr>
              <a:solidFill>
                <a:schemeClr val="accent1">
                  <a:lumMod val="75000"/>
                </a:schemeClr>
              </a:solidFill>
            </c:spPr>
            <c:extLst>
              <c:ext xmlns:c16="http://schemas.microsoft.com/office/drawing/2014/chart" uri="{C3380CC4-5D6E-409C-BE32-E72D297353CC}">
                <c16:uniqueId val="{00000005-4757-F747-858F-4F036593F080}"/>
              </c:ext>
            </c:extLst>
          </c:dPt>
          <c:dPt>
            <c:idx val="7"/>
            <c:invertIfNegative val="0"/>
            <c:bubble3D val="0"/>
            <c:spPr>
              <a:solidFill>
                <a:schemeClr val="accent1">
                  <a:lumMod val="75000"/>
                </a:schemeClr>
              </a:solidFill>
            </c:spPr>
            <c:extLst>
              <c:ext xmlns:c16="http://schemas.microsoft.com/office/drawing/2014/chart" uri="{C3380CC4-5D6E-409C-BE32-E72D297353CC}">
                <c16:uniqueId val="{00000007-4757-F747-858F-4F036593F080}"/>
              </c:ext>
            </c:extLst>
          </c:dPt>
          <c:dPt>
            <c:idx val="8"/>
            <c:invertIfNegative val="0"/>
            <c:bubble3D val="0"/>
            <c:spPr>
              <a:solidFill>
                <a:schemeClr val="accent1">
                  <a:lumMod val="75000"/>
                </a:schemeClr>
              </a:solidFill>
            </c:spPr>
            <c:extLst>
              <c:ext xmlns:c16="http://schemas.microsoft.com/office/drawing/2014/chart" uri="{C3380CC4-5D6E-409C-BE32-E72D297353CC}">
                <c16:uniqueId val="{00000009-4757-F747-858F-4F036593F080}"/>
              </c:ext>
            </c:extLst>
          </c:dPt>
          <c:dLbls>
            <c:spPr>
              <a:solidFill>
                <a:schemeClr val="bg1">
                  <a:lumMod val="85000"/>
                </a:schemeClr>
              </a:solidFill>
            </c:spPr>
            <c:txPr>
              <a:bodyPr/>
              <a:lstStyle/>
              <a:p>
                <a:pPr>
                  <a:defRPr sz="700" b="1"/>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'Revenues&amp;Ebitda'!$C$3:$K$3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'Revenues&amp;Ebitda'!$C$4:$K$4</c:f>
              <c:numCache>
                <c:formatCode>_(* #,##0_);_(* \(#,##0\);_(* "-"??_);_(@_)</c:formatCode>
                <c:ptCount val="9"/>
                <c:pt idx="0">
                  <c:v>24925.673999999999</c:v>
                </c:pt>
                <c:pt idx="1">
                  <c:v>26749.821</c:v>
                </c:pt>
                <c:pt idx="2">
                  <c:v>35504.92</c:v>
                </c:pt>
                <c:pt idx="3">
                  <c:v>0</c:v>
                </c:pt>
                <c:pt idx="4">
                  <c:v>42605.903999999995</c:v>
                </c:pt>
                <c:pt idx="5">
                  <c:v>51127.08479999999</c:v>
                </c:pt>
                <c:pt idx="6">
                  <c:v>61352.501759999985</c:v>
                </c:pt>
                <c:pt idx="7">
                  <c:v>73623.002111999973</c:v>
                </c:pt>
                <c:pt idx="8">
                  <c:v>88347.602534399964</c:v>
                </c:pt>
              </c:numCache>
            </c:numRef>
          </c:val>
          <c:extLst>
            <c:ext xmlns:c16="http://schemas.microsoft.com/office/drawing/2014/chart" uri="{C3380CC4-5D6E-409C-BE32-E72D297353CC}">
              <c16:uniqueId val="{0000000A-4757-F747-858F-4F036593F080}"/>
            </c:ext>
          </c:extLst>
        </c:ser>
        <c:dLbls>
          <c:showLegendKey val="0"/>
          <c:showVal val="0"/>
          <c:showCatName val="0"/>
          <c:showSerName val="0"/>
          <c:showPercent val="0"/>
          <c:showBubbleSize val="0"/>
        </c:dLbls>
        <c:gapWidth val="50"/>
        <c:overlap val="100"/>
        <c:axId val="104562048"/>
        <c:axId val="104576128"/>
      </c:barChart>
      <c:lineChart>
        <c:grouping val="standard"/>
        <c:varyColors val="0"/>
        <c:ser>
          <c:idx val="1"/>
          <c:order val="1"/>
          <c:tx>
            <c:strRef>
              <c:f>'Revenues&amp;Ebitda'!$B$6</c:f>
              <c:strCache>
                <c:ptCount val="1"/>
                <c:pt idx="0">
                  <c:v>EBITDA%</c:v>
                </c:pt>
              </c:strCache>
            </c:strRef>
          </c:tx>
          <c:marker>
            <c:symbol val="none"/>
          </c:marker>
          <c:dLbls>
            <c:spPr>
              <a:solidFill>
                <a:schemeClr val="accent2">
                  <a:lumMod val="60000"/>
                  <a:lumOff val="40000"/>
                </a:schemeClr>
              </a:solidFill>
            </c:spPr>
            <c:txPr>
              <a:bodyPr/>
              <a:lstStyle/>
              <a:p>
                <a:pPr>
                  <a:defRPr sz="700" b="1">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'Revenues&amp;Ebitda'!$C$3:$K$3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'Revenues&amp;Ebitda'!$C$6:$K$6</c:f>
              <c:numCache>
                <c:formatCode>0.0%</c:formatCode>
                <c:ptCount val="9"/>
                <c:pt idx="0">
                  <c:v>0.37412685410232027</c:v>
                </c:pt>
                <c:pt idx="1">
                  <c:v>0.53849111737981359</c:v>
                </c:pt>
                <c:pt idx="2">
                  <c:v>0.49466549988001657</c:v>
                </c:pt>
                <c:pt idx="4">
                  <c:v>0.52999999999999992</c:v>
                </c:pt>
                <c:pt idx="5">
                  <c:v>0.52999999999999992</c:v>
                </c:pt>
                <c:pt idx="6">
                  <c:v>0.53</c:v>
                </c:pt>
                <c:pt idx="7">
                  <c:v>0.52999999999999992</c:v>
                </c:pt>
                <c:pt idx="8">
                  <c:v>0.52999999999999992</c:v>
                </c:pt>
              </c:numCache>
            </c:numRef>
          </c:val>
          <c:smooth val="1"/>
          <c:extLst>
            <c:ext xmlns:c16="http://schemas.microsoft.com/office/drawing/2014/chart" uri="{C3380CC4-5D6E-409C-BE32-E72D297353CC}">
              <c16:uniqueId val="{0000000B-4757-F747-858F-4F036593F080}"/>
            </c:ext>
          </c:extLst>
        </c:ser>
        <c:dLbls>
          <c:showLegendKey val="0"/>
          <c:showVal val="0"/>
          <c:showCatName val="0"/>
          <c:showSerName val="0"/>
          <c:showPercent val="0"/>
          <c:showBubbleSize val="0"/>
        </c:dLbls>
        <c:marker val="1"/>
        <c:smooth val="0"/>
        <c:axId val="104579840"/>
        <c:axId val="104578048"/>
      </c:lineChart>
      <c:catAx>
        <c:axId val="104562048"/>
        <c:scaling>
          <c:orientation val="minMax"/>
        </c:scaling>
        <c:delete val="0"/>
        <c:axPos val="b"/>
        <c:numFmt formatCode="General" sourceLinked="0"/>
        <c:majorTickMark val="out"/>
        <c:minorTickMark val="none"/>
        <c:tickLblPos val="nextTo"/>
        <c:crossAx val="104576128"/>
        <c:crosses val="autoZero"/>
        <c:auto val="1"/>
        <c:lblAlgn val="ctr"/>
        <c:lblOffset val="100"/>
        <c:noMultiLvlLbl val="0"/>
      </c:catAx>
      <c:valAx>
        <c:axId val="104576128"/>
        <c:scaling>
          <c:orientation val="minMax"/>
          <c:max val="50000"/>
          <c:min val="0"/>
        </c:scaling>
        <c:delete val="0"/>
        <c:axPos val="l"/>
        <c:majorGridlines>
          <c:spPr>
            <a:ln>
              <a:solidFill>
                <a:schemeClr val="bg1">
                  <a:lumMod val="65000"/>
                  <a:alpha val="30000"/>
                </a:schemeClr>
              </a:solidFill>
            </a:ln>
          </c:spPr>
        </c:majorGridlines>
        <c:title>
          <c:tx>
            <c:rich>
              <a:bodyPr rot="-5400000" vert="horz"/>
              <a:lstStyle/>
              <a:p>
                <a:pPr>
                  <a:defRPr b="0"/>
                </a:pPr>
                <a:r>
                  <a:rPr lang="en-US" b="0"/>
                  <a:t>AED in millions</a:t>
                </a:r>
              </a:p>
            </c:rich>
          </c:tx>
          <c:overlay val="0"/>
        </c:title>
        <c:numFmt formatCode="_(* #,##0_);_(* \(#,##0\);_(* &quot;-&quot;??_);_(@_)" sourceLinked="1"/>
        <c:majorTickMark val="out"/>
        <c:minorTickMark val="none"/>
        <c:tickLblPos val="nextTo"/>
        <c:spPr>
          <a:noFill/>
          <a:ln>
            <a:noFill/>
          </a:ln>
        </c:spPr>
        <c:crossAx val="104562048"/>
        <c:crosses val="autoZero"/>
        <c:crossBetween val="between"/>
        <c:majorUnit val="10000"/>
      </c:valAx>
      <c:valAx>
        <c:axId val="104578048"/>
        <c:scaling>
          <c:orientation val="minMax"/>
          <c:max val="0.6"/>
          <c:min val="0.35"/>
        </c:scaling>
        <c:delete val="0"/>
        <c:axPos val="r"/>
        <c:numFmt formatCode="0.0%" sourceLinked="1"/>
        <c:majorTickMark val="out"/>
        <c:minorTickMark val="none"/>
        <c:tickLblPos val="nextTo"/>
        <c:crossAx val="104579840"/>
        <c:crosses val="max"/>
        <c:crossBetween val="between"/>
        <c:majorUnit val="0.1"/>
      </c:valAx>
      <c:catAx>
        <c:axId val="104579840"/>
        <c:scaling>
          <c:orientation val="minMax"/>
        </c:scaling>
        <c:delete val="1"/>
        <c:axPos val="b"/>
        <c:numFmt formatCode="General" sourceLinked="1"/>
        <c:majorTickMark val="out"/>
        <c:minorTickMark val="none"/>
        <c:tickLblPos val="nextTo"/>
        <c:crossAx val="104578048"/>
        <c:crosses val="autoZero"/>
        <c:auto val="1"/>
        <c:lblAlgn val="ctr"/>
        <c:lblOffset val="100"/>
        <c:noMultiLvlLbl val="0"/>
      </c:catAx>
    </c:plotArea>
    <c:legend>
      <c:legendPos val="b"/>
      <c:overlay val="0"/>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ndard"/>
        <c:varyColors val="0"/>
        <c:ser>
          <c:idx val="0"/>
          <c:order val="0"/>
          <c:tx>
            <c:strRef>
              <c:f>'Cash flows'!$B$4</c:f>
              <c:strCache>
                <c:ptCount val="1"/>
                <c:pt idx="0">
                  <c:v>UFCF </c:v>
                </c:pt>
              </c:strCache>
            </c:strRef>
          </c:tx>
          <c:spPr>
            <a:solidFill>
              <a:srgbClr val="002060"/>
            </a:solidFill>
          </c:spPr>
          <c:cat>
            <c:strRef>
              <c:f>'Cash flows'!$C$3:$G$3</c:f>
              <c:strCache>
                <c:ptCount val="5"/>
                <c:pt idx="0">
                  <c:v>FY 2025
Forecast </c:v>
                </c:pt>
                <c:pt idx="1">
                  <c:v>FY 2026
Forecast </c:v>
                </c:pt>
                <c:pt idx="2">
                  <c:v>FY 2027
Forecast </c:v>
                </c:pt>
                <c:pt idx="3">
                  <c:v>FY 2028
Forecast </c:v>
                </c:pt>
                <c:pt idx="4">
                  <c:v>FY 2029
Forecast </c:v>
                </c:pt>
              </c:strCache>
            </c:strRef>
          </c:cat>
          <c:val>
            <c:numRef>
              <c:f>'Cash flows'!$C$4:$G$4</c:f>
              <c:numCache>
                <c:formatCode>_(* #,##0_);_(* \(#,##0\);_(* "-"?_);@_)</c:formatCode>
                <c:ptCount val="5"/>
                <c:pt idx="0">
                  <c:v>20187.397424090392</c:v>
                </c:pt>
                <c:pt idx="1">
                  <c:v>38605.57882399307</c:v>
                </c:pt>
                <c:pt idx="2">
                  <c:v>47048.173880750808</c:v>
                </c:pt>
                <c:pt idx="3">
                  <c:v>57187.209964078647</c:v>
                </c:pt>
                <c:pt idx="4">
                  <c:v>69362.252549823301</c:v>
                </c:pt>
              </c:numCache>
            </c:numRef>
          </c:val>
          <c:extLst>
            <c:ext xmlns:c16="http://schemas.microsoft.com/office/drawing/2014/chart" uri="{C3380CC4-5D6E-409C-BE32-E72D297353CC}">
              <c16:uniqueId val="{00000000-C293-8D49-BBB9-5CCC8F88ACE1}"/>
            </c:ext>
          </c:extLst>
        </c:ser>
        <c:ser>
          <c:idx val="1"/>
          <c:order val="1"/>
          <c:tx>
            <c:strRef>
              <c:f>'Cash flows'!$B$5</c:f>
              <c:strCache>
                <c:ptCount val="1"/>
                <c:pt idx="0">
                  <c:v>Present value of UFCF </c:v>
                </c:pt>
              </c:strCache>
            </c:strRef>
          </c:tx>
          <c:spPr>
            <a:solidFill>
              <a:schemeClr val="bg1">
                <a:lumMod val="75000"/>
              </a:schemeClr>
            </a:solidFill>
          </c:spPr>
          <c:cat>
            <c:strRef>
              <c:f>'Cash flows'!$C$3:$G$3</c:f>
              <c:strCache>
                <c:ptCount val="5"/>
                <c:pt idx="0">
                  <c:v>FY 2025
Forecast </c:v>
                </c:pt>
                <c:pt idx="1">
                  <c:v>FY 2026
Forecast </c:v>
                </c:pt>
                <c:pt idx="2">
                  <c:v>FY 2027
Forecast </c:v>
                </c:pt>
                <c:pt idx="3">
                  <c:v>FY 2028
Forecast </c:v>
                </c:pt>
                <c:pt idx="4">
                  <c:v>FY 2029
Forecast </c:v>
                </c:pt>
              </c:strCache>
            </c:strRef>
          </c:cat>
          <c:val>
            <c:numRef>
              <c:f>'Cash flows'!$C$5:$G$5</c:f>
              <c:numCache>
                <c:formatCode>_(* #,##0_);_(* \(#,##0\);_(* "-"?_);@_)</c:formatCode>
                <c:ptCount val="5"/>
                <c:pt idx="0">
                  <c:v>18352.17947644581</c:v>
                </c:pt>
                <c:pt idx="1">
                  <c:v>31905.437044622369</c:v>
                </c:pt>
                <c:pt idx="2">
                  <c:v>35347.989391999094</c:v>
                </c:pt>
                <c:pt idx="3">
                  <c:v>39059.633880253146</c:v>
                </c:pt>
                <c:pt idx="4">
                  <c:v>43068.501623599528</c:v>
                </c:pt>
              </c:numCache>
            </c:numRef>
          </c:val>
          <c:extLst>
            <c:ext xmlns:c16="http://schemas.microsoft.com/office/drawing/2014/chart" uri="{C3380CC4-5D6E-409C-BE32-E72D297353CC}">
              <c16:uniqueId val="{00000001-C293-8D49-BBB9-5CCC8F88ACE1}"/>
            </c:ext>
          </c:extLst>
        </c:ser>
        <c:dLbls>
          <c:showLegendKey val="0"/>
          <c:showVal val="0"/>
          <c:showCatName val="0"/>
          <c:showSerName val="0"/>
          <c:showPercent val="0"/>
          <c:showBubbleSize val="0"/>
        </c:dLbls>
        <c:axId val="104945920"/>
        <c:axId val="104972288"/>
      </c:areaChart>
      <c:catAx>
        <c:axId val="104945920"/>
        <c:scaling>
          <c:orientation val="minMax"/>
        </c:scaling>
        <c:delete val="0"/>
        <c:axPos val="b"/>
        <c:numFmt formatCode="General" sourceLinked="0"/>
        <c:majorTickMark val="out"/>
        <c:minorTickMark val="none"/>
        <c:tickLblPos val="nextTo"/>
        <c:crossAx val="104972288"/>
        <c:crosses val="autoZero"/>
        <c:auto val="1"/>
        <c:lblAlgn val="ctr"/>
        <c:lblOffset val="100"/>
        <c:noMultiLvlLbl val="0"/>
      </c:catAx>
      <c:valAx>
        <c:axId val="104972288"/>
        <c:scaling>
          <c:orientation val="minMax"/>
          <c:max val="70000"/>
          <c:min val="0"/>
        </c:scaling>
        <c:delete val="0"/>
        <c:axPos val="l"/>
        <c:majorGridlines>
          <c:spPr>
            <a:ln>
              <a:solidFill>
                <a:schemeClr val="bg1">
                  <a:lumMod val="65000"/>
                  <a:alpha val="28000"/>
                </a:schemeClr>
              </a:solidFill>
            </a:ln>
          </c:spPr>
        </c:majorGridlines>
        <c:title>
          <c:tx>
            <c:rich>
              <a:bodyPr rot="-5400000" vert="horz"/>
              <a:lstStyle/>
              <a:p>
                <a:pPr>
                  <a:defRPr/>
                </a:pPr>
                <a:r>
                  <a:rPr lang="en-US" b="0"/>
                  <a:t>AED in millions</a:t>
                </a:r>
              </a:p>
            </c:rich>
          </c:tx>
          <c:overlay val="0"/>
        </c:title>
        <c:numFmt formatCode="_(* #,##0_);_(* \(#,##0\);_(* &quot;-&quot;?_);@_)" sourceLinked="1"/>
        <c:majorTickMark val="out"/>
        <c:minorTickMark val="none"/>
        <c:tickLblPos val="nextTo"/>
        <c:crossAx val="104945920"/>
        <c:crosses val="autoZero"/>
        <c:crossBetween val="midCat"/>
        <c:majorUnit val="10000"/>
      </c:valAx>
    </c:plotArea>
    <c:legend>
      <c:legendPos val="b"/>
      <c:overlay val="0"/>
    </c:legend>
    <c:plotVisOnly val="1"/>
    <c:dispBlanksAs val="zero"/>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invertIfNegative val="0"/>
          <c:dPt>
            <c:idx val="0"/>
            <c:invertIfNegative val="0"/>
            <c:bubble3D val="0"/>
            <c:spPr>
              <a:solidFill>
                <a:srgbClr val="002060"/>
              </a:solidFill>
            </c:spPr>
            <c:extLst>
              <c:ext xmlns:c16="http://schemas.microsoft.com/office/drawing/2014/chart" uri="{C3380CC4-5D6E-409C-BE32-E72D297353CC}">
                <c16:uniqueId val="{00000001-414E-924C-AE15-C233141AFD2F}"/>
              </c:ext>
            </c:extLst>
          </c:dPt>
          <c:dPt>
            <c:idx val="1"/>
            <c:invertIfNegative val="0"/>
            <c:bubble3D val="0"/>
            <c:spPr>
              <a:noFill/>
            </c:spPr>
            <c:extLst>
              <c:ext xmlns:c16="http://schemas.microsoft.com/office/drawing/2014/chart" uri="{C3380CC4-5D6E-409C-BE32-E72D297353CC}">
                <c16:uniqueId val="{00000003-414E-924C-AE15-C233141AFD2F}"/>
              </c:ext>
            </c:extLst>
          </c:dPt>
          <c:dPt>
            <c:idx val="2"/>
            <c:invertIfNegative val="0"/>
            <c:bubble3D val="0"/>
            <c:spPr>
              <a:noFill/>
            </c:spPr>
            <c:extLst>
              <c:ext xmlns:c16="http://schemas.microsoft.com/office/drawing/2014/chart" uri="{C3380CC4-5D6E-409C-BE32-E72D297353CC}">
                <c16:uniqueId val="{00000005-414E-924C-AE15-C233141AFD2F}"/>
              </c:ext>
            </c:extLst>
          </c:dPt>
          <c:dPt>
            <c:idx val="3"/>
            <c:invertIfNegative val="0"/>
            <c:bubble3D val="0"/>
            <c:spPr>
              <a:noFill/>
            </c:spPr>
            <c:extLst>
              <c:ext xmlns:c16="http://schemas.microsoft.com/office/drawing/2014/chart" uri="{C3380CC4-5D6E-409C-BE32-E72D297353CC}">
                <c16:uniqueId val="{00000007-414E-924C-AE15-C233141AFD2F}"/>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4E-924C-AE15-C233141AFD2F}"/>
                </c:ext>
              </c:extLst>
            </c:dLbl>
            <c:numFmt formatCode="#,##0" sourceLinked="0"/>
            <c:spPr>
              <a:noFill/>
              <a:ln>
                <a:noFill/>
              </a:ln>
              <a:effectLst/>
            </c:spPr>
            <c:txPr>
              <a:bodyPr/>
              <a:lstStyle/>
              <a:p>
                <a:pPr>
                  <a:defRPr b="1">
                    <a:solidFill>
                      <a:schemeClr val="bg1"/>
                    </a:solidFill>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'Ebitda bridge'!$K$4:$O$4</c:f>
              <c:strCache>
                <c:ptCount val="5"/>
                <c:pt idx="0">
                  <c:v>EBITDA FY24</c:v>
                </c:pt>
                <c:pt idx="1">
                  <c:v>Delta Revenues</c:v>
                </c:pt>
                <c:pt idx="2">
                  <c:v>Delta Cogs</c:v>
                </c:pt>
                <c:pt idx="3">
                  <c:v>Delta Opex</c:v>
                </c:pt>
                <c:pt idx="4">
                  <c:v>EBITDA FY25</c:v>
                </c:pt>
              </c:strCache>
            </c:strRef>
          </c:cat>
          <c:val>
            <c:numRef>
              <c:f>'Ebitda bridge'!$K$2:$O$2</c:f>
              <c:numCache>
                <c:formatCode>0.0</c:formatCode>
                <c:ptCount val="5"/>
                <c:pt idx="0">
                  <c:v>17563.058999999997</c:v>
                </c:pt>
                <c:pt idx="1">
                  <c:v>17563.058999999997</c:v>
                </c:pt>
                <c:pt idx="2">
                  <c:v>22746.041399999995</c:v>
                </c:pt>
                <c:pt idx="3">
                  <c:v>22746.041399999995</c:v>
                </c:pt>
              </c:numCache>
            </c:numRef>
          </c:val>
          <c:extLst>
            <c:ext xmlns:c16="http://schemas.microsoft.com/office/drawing/2014/chart" uri="{C3380CC4-5D6E-409C-BE32-E72D297353CC}">
              <c16:uniqueId val="{00000008-414E-924C-AE15-C233141AFD2F}"/>
            </c:ext>
          </c:extLst>
        </c:ser>
        <c:ser>
          <c:idx val="1"/>
          <c:order val="1"/>
          <c:invertIfNegative val="0"/>
          <c:dPt>
            <c:idx val="1"/>
            <c:invertIfNegative val="0"/>
            <c:bubble3D val="0"/>
            <c:spPr>
              <a:solidFill>
                <a:srgbClr val="0070C0"/>
              </a:solidFill>
            </c:spPr>
            <c:extLst>
              <c:ext xmlns:c16="http://schemas.microsoft.com/office/drawing/2014/chart" uri="{C3380CC4-5D6E-409C-BE32-E72D297353CC}">
                <c16:uniqueId val="{0000000A-414E-924C-AE15-C233141AFD2F}"/>
              </c:ext>
            </c:extLst>
          </c:dPt>
          <c:dPt>
            <c:idx val="2"/>
            <c:invertIfNegative val="0"/>
            <c:bubble3D val="0"/>
            <c:spPr>
              <a:solidFill>
                <a:schemeClr val="bg1">
                  <a:lumMod val="65000"/>
                </a:schemeClr>
              </a:solidFill>
            </c:spPr>
            <c:extLst>
              <c:ext xmlns:c16="http://schemas.microsoft.com/office/drawing/2014/chart" uri="{C3380CC4-5D6E-409C-BE32-E72D297353CC}">
                <c16:uniqueId val="{0000000C-414E-924C-AE15-C233141AFD2F}"/>
              </c:ext>
            </c:extLst>
          </c:dPt>
          <c:dPt>
            <c:idx val="3"/>
            <c:invertIfNegative val="0"/>
            <c:bubble3D val="0"/>
            <c:spPr>
              <a:solidFill>
                <a:srgbClr val="0070C0"/>
              </a:solidFill>
            </c:spPr>
            <c:extLst>
              <c:ext xmlns:c16="http://schemas.microsoft.com/office/drawing/2014/chart" uri="{C3380CC4-5D6E-409C-BE32-E72D297353CC}">
                <c16:uniqueId val="{0000000E-414E-924C-AE15-C233141AFD2F}"/>
              </c:ext>
            </c:extLst>
          </c:dPt>
          <c:dPt>
            <c:idx val="4"/>
            <c:invertIfNegative val="0"/>
            <c:bubble3D val="0"/>
            <c:spPr>
              <a:solidFill>
                <a:srgbClr val="002060"/>
              </a:solidFill>
            </c:spPr>
            <c:extLst>
              <c:ext xmlns:c16="http://schemas.microsoft.com/office/drawing/2014/chart" uri="{C3380CC4-5D6E-409C-BE32-E72D297353CC}">
                <c16:uniqueId val="{00000010-414E-924C-AE15-C233141AFD2F}"/>
              </c:ext>
            </c:extLst>
          </c:dPt>
          <c:dLbls>
            <c:dLbl>
              <c:idx val="0"/>
              <c:delete val="1"/>
              <c:extLst>
                <c:ext xmlns:c15="http://schemas.microsoft.com/office/drawing/2012/chart" uri="{CE6537A1-D6FC-4f65-9D91-7224C49458BB}"/>
                <c:ext xmlns:c16="http://schemas.microsoft.com/office/drawing/2014/chart" uri="{C3380CC4-5D6E-409C-BE32-E72D297353CC}">
                  <c16:uniqueId val="{00000011-414E-924C-AE15-C233141AFD2F}"/>
                </c:ext>
              </c:extLst>
            </c:dLbl>
            <c:dLbl>
              <c:idx val="3"/>
              <c:layout>
                <c:manualLayout>
                  <c:x val="-1.7137960582690661E-3"/>
                  <c:y val="-5.0925925925925923E-2"/>
                </c:manualLayout>
              </c:layout>
              <c:tx>
                <c:rich>
                  <a:bodyPr/>
                  <a:lstStyle/>
                  <a:p>
                    <a:r>
                      <a:rPr lang="en-US">
                        <a:solidFill>
                          <a:sysClr val="windowText" lastClr="000000"/>
                        </a:solidFill>
                      </a:rPr>
                      <a:t>-537,7</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414E-924C-AE15-C233141AFD2F}"/>
                </c:ext>
              </c:extLst>
            </c:dLbl>
            <c:numFmt formatCode="#,##0" sourceLinked="0"/>
            <c:spPr>
              <a:noFill/>
              <a:ln>
                <a:noFill/>
              </a:ln>
              <a:effectLst/>
            </c:spPr>
            <c:txPr>
              <a:bodyPr/>
              <a:lstStyle/>
              <a:p>
                <a:pPr>
                  <a:defRPr b="1">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'Ebitda bridge'!$K$4:$O$4</c:f>
              <c:strCache>
                <c:ptCount val="5"/>
                <c:pt idx="0">
                  <c:v>EBITDA FY24</c:v>
                </c:pt>
                <c:pt idx="1">
                  <c:v>Delta Revenues</c:v>
                </c:pt>
                <c:pt idx="2">
                  <c:v>Delta Cogs</c:v>
                </c:pt>
                <c:pt idx="3">
                  <c:v>Delta Opex</c:v>
                </c:pt>
                <c:pt idx="4">
                  <c:v>EBITDA FY25</c:v>
                </c:pt>
              </c:strCache>
            </c:strRef>
          </c:cat>
          <c:val>
            <c:numRef>
              <c:f>'Ebitda bridge'!$K$3:$O$3</c:f>
              <c:numCache>
                <c:formatCode>0.0</c:formatCode>
                <c:ptCount val="5"/>
                <c:pt idx="0" formatCode="General">
                  <c:v>0</c:v>
                </c:pt>
                <c:pt idx="1">
                  <c:v>7100.9839999999967</c:v>
                </c:pt>
                <c:pt idx="2">
                  <c:v>1918.0016000000014</c:v>
                </c:pt>
                <c:pt idx="3">
                  <c:v>-164.91227999999956</c:v>
                </c:pt>
                <c:pt idx="4">
                  <c:v>22581.129119999994</c:v>
                </c:pt>
              </c:numCache>
            </c:numRef>
          </c:val>
          <c:extLst>
            <c:ext xmlns:c16="http://schemas.microsoft.com/office/drawing/2014/chart" uri="{C3380CC4-5D6E-409C-BE32-E72D297353CC}">
              <c16:uniqueId val="{00000012-414E-924C-AE15-C233141AFD2F}"/>
            </c:ext>
          </c:extLst>
        </c:ser>
        <c:dLbls>
          <c:showLegendKey val="0"/>
          <c:showVal val="0"/>
          <c:showCatName val="0"/>
          <c:showSerName val="0"/>
          <c:showPercent val="0"/>
          <c:showBubbleSize val="0"/>
        </c:dLbls>
        <c:gapWidth val="150"/>
        <c:overlap val="100"/>
        <c:axId val="104909056"/>
        <c:axId val="104921728"/>
      </c:barChart>
      <c:catAx>
        <c:axId val="104909056"/>
        <c:scaling>
          <c:orientation val="minMax"/>
        </c:scaling>
        <c:delete val="0"/>
        <c:axPos val="b"/>
        <c:numFmt formatCode="#,##0.00" sourceLinked="0"/>
        <c:majorTickMark val="out"/>
        <c:minorTickMark val="none"/>
        <c:tickLblPos val="nextTo"/>
        <c:spPr>
          <a:ln>
            <a:noFill/>
          </a:ln>
        </c:spPr>
        <c:crossAx val="104921728"/>
        <c:crosses val="autoZero"/>
        <c:auto val="1"/>
        <c:lblAlgn val="ctr"/>
        <c:lblOffset val="100"/>
        <c:noMultiLvlLbl val="0"/>
      </c:catAx>
      <c:valAx>
        <c:axId val="104921728"/>
        <c:scaling>
          <c:orientation val="minMax"/>
        </c:scaling>
        <c:delete val="0"/>
        <c:axPos val="l"/>
        <c:majorGridlines>
          <c:spPr>
            <a:ln>
              <a:solidFill>
                <a:schemeClr val="bg1">
                  <a:lumMod val="65000"/>
                  <a:alpha val="24000"/>
                </a:schemeClr>
              </a:solidFill>
            </a:ln>
          </c:spPr>
        </c:majorGridlines>
        <c:numFmt formatCode="#,##0" sourceLinked="0"/>
        <c:majorTickMark val="out"/>
        <c:minorTickMark val="none"/>
        <c:tickLblPos val="nextTo"/>
        <c:spPr>
          <a:ln>
            <a:noFill/>
          </a:ln>
        </c:spPr>
        <c:crossAx val="104909056"/>
        <c:crosses val="autoZero"/>
        <c:crossBetween val="between"/>
      </c:valAx>
    </c:plotArea>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1">
                <a:solidFill>
                  <a:srgbClr val="002060"/>
                </a:solidFill>
              </a:rPr>
              <a:t>FY22-FY29:</a:t>
            </a:r>
            <a:r>
              <a:rPr lang="en-US" b="1" baseline="0">
                <a:solidFill>
                  <a:srgbClr val="002060"/>
                </a:solidFill>
              </a:rPr>
              <a:t> </a:t>
            </a:r>
            <a:r>
              <a:rPr lang="en-US" b="1">
                <a:solidFill>
                  <a:srgbClr val="002060"/>
                </a:solidFill>
              </a:rPr>
              <a:t>Working</a:t>
            </a:r>
            <a:r>
              <a:rPr lang="en-US" b="1" baseline="0">
                <a:solidFill>
                  <a:srgbClr val="002060"/>
                </a:solidFill>
              </a:rPr>
              <a:t> capital development</a:t>
            </a:r>
            <a:endParaRPr lang="en-US" b="1">
              <a:solidFill>
                <a:srgbClr val="002060"/>
              </a:solidFill>
            </a:endParaRPr>
          </a:p>
        </c:rich>
      </c:tx>
      <c:layout>
        <c:manualLayout>
          <c:xMode val="edge"/>
          <c:yMode val="edge"/>
          <c:x val="1.0693830557425685E-2"/>
          <c:y val="2.3937766331211228E-2"/>
        </c:manualLayout>
      </c:layout>
      <c:overlay val="0"/>
    </c:title>
    <c:autoTitleDeleted val="0"/>
    <c:plotArea>
      <c:layout/>
      <c:areaChart>
        <c:grouping val="standard"/>
        <c:varyColors val="0"/>
        <c:ser>
          <c:idx val="3"/>
          <c:order val="3"/>
          <c:tx>
            <c:strRef>
              <c:f>'Working capital'!$B$7</c:f>
              <c:strCache>
                <c:ptCount val="1"/>
                <c:pt idx="0">
                  <c:v>Working capital</c:v>
                </c:pt>
              </c:strCache>
            </c:strRef>
          </c:tx>
          <c:spPr>
            <a:solidFill>
              <a:schemeClr val="bg1">
                <a:lumMod val="65000"/>
              </a:schemeClr>
            </a:solidFill>
          </c:spPr>
          <c:val>
            <c:numRef>
              <c:f>'Working capital'!$C$7:$K$7</c:f>
              <c:numCache>
                <c:formatCode>_(* #,##0_);_(* \(#,##0\);_(* "-"??_);_(@_)</c:formatCode>
                <c:ptCount val="9"/>
                <c:pt idx="0">
                  <c:v>44799.175999999992</c:v>
                </c:pt>
                <c:pt idx="1">
                  <c:v>43515.199999999997</c:v>
                </c:pt>
                <c:pt idx="2">
                  <c:v>43009.71</c:v>
                </c:pt>
                <c:pt idx="4">
                  <c:v>38520.406356164378</c:v>
                </c:pt>
                <c:pt idx="5">
                  <c:v>46224.487627397248</c:v>
                </c:pt>
                <c:pt idx="6">
                  <c:v>55469.385152876705</c:v>
                </c:pt>
                <c:pt idx="7">
                  <c:v>66563.26218345204</c:v>
                </c:pt>
                <c:pt idx="8">
                  <c:v>79875.914620142459</c:v>
                </c:pt>
              </c:numCache>
            </c:numRef>
          </c:val>
          <c:extLst>
            <c:ext xmlns:c16="http://schemas.microsoft.com/office/drawing/2014/chart" uri="{C3380CC4-5D6E-409C-BE32-E72D297353CC}">
              <c16:uniqueId val="{00000000-D449-CB4F-A9C2-4F7A53CD28AF}"/>
            </c:ext>
          </c:extLst>
        </c:ser>
        <c:dLbls>
          <c:showLegendKey val="0"/>
          <c:showVal val="0"/>
          <c:showCatName val="0"/>
          <c:showSerName val="0"/>
          <c:showPercent val="0"/>
          <c:showBubbleSize val="0"/>
        </c:dLbls>
        <c:axId val="105145088"/>
        <c:axId val="105142912"/>
      </c:areaChart>
      <c:barChart>
        <c:barDir val="col"/>
        <c:grouping val="clustered"/>
        <c:varyColors val="0"/>
        <c:ser>
          <c:idx val="0"/>
          <c:order val="0"/>
          <c:tx>
            <c:strRef>
              <c:f>'Working capital'!$B$9</c:f>
              <c:strCache>
                <c:ptCount val="1"/>
                <c:pt idx="0">
                  <c:v>DSO </c:v>
                </c:pt>
              </c:strCache>
            </c:strRef>
          </c:tx>
          <c:spPr>
            <a:solidFill>
              <a:srgbClr val="002060"/>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capital'!$C$9:$K$9</c:f>
              <c:numCache>
                <c:formatCode>_(* #,##0_);_(* \(#,##0\);_(* "-"??_);_(@_)</c:formatCode>
                <c:ptCount val="9"/>
                <c:pt idx="0">
                  <c:v>325.35520403580659</c:v>
                </c:pt>
                <c:pt idx="1">
                  <c:v>235.44458671330923</c:v>
                </c:pt>
                <c:pt idx="2">
                  <c:v>159.18246654266508</c:v>
                </c:pt>
                <c:pt idx="3">
                  <c:v>0</c:v>
                </c:pt>
                <c:pt idx="4">
                  <c:v>150</c:v>
                </c:pt>
                <c:pt idx="5">
                  <c:v>150</c:v>
                </c:pt>
                <c:pt idx="6">
                  <c:v>150</c:v>
                </c:pt>
                <c:pt idx="7">
                  <c:v>150</c:v>
                </c:pt>
                <c:pt idx="8">
                  <c:v>150</c:v>
                </c:pt>
              </c:numCache>
            </c:numRef>
          </c:val>
          <c:extLst>
            <c:ext xmlns:c16="http://schemas.microsoft.com/office/drawing/2014/chart" uri="{C3380CC4-5D6E-409C-BE32-E72D297353CC}">
              <c16:uniqueId val="{00000001-D449-CB4F-A9C2-4F7A53CD28AF}"/>
            </c:ext>
          </c:extLst>
        </c:ser>
        <c:ser>
          <c:idx val="1"/>
          <c:order val="1"/>
          <c:tx>
            <c:strRef>
              <c:f>'Working capital'!$B$10</c:f>
              <c:strCache>
                <c:ptCount val="1"/>
                <c:pt idx="0">
                  <c:v>DIO</c:v>
                </c:pt>
              </c:strCache>
            </c:strRef>
          </c:tx>
          <c:spPr>
            <a:solidFill>
              <a:srgbClr val="0070C0"/>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capital'!$C$10:$K$10</c:f>
              <c:numCache>
                <c:formatCode>_(* #,##0_);_(* \(#,##0\);_(* "-"??_);_(@_)</c:formatCode>
                <c:ptCount val="9"/>
                <c:pt idx="0">
                  <c:v>1249.5838466376406</c:v>
                </c:pt>
                <c:pt idx="1">
                  <c:v>1513.8979209874044</c:v>
                </c:pt>
                <c:pt idx="2">
                  <c:v>1088.3195295536475</c:v>
                </c:pt>
                <c:pt idx="3">
                  <c:v>0</c:v>
                </c:pt>
                <c:pt idx="4">
                  <c:v>950</c:v>
                </c:pt>
                <c:pt idx="5">
                  <c:v>950</c:v>
                </c:pt>
                <c:pt idx="6">
                  <c:v>950</c:v>
                </c:pt>
                <c:pt idx="7">
                  <c:v>950</c:v>
                </c:pt>
                <c:pt idx="8">
                  <c:v>950</c:v>
                </c:pt>
              </c:numCache>
            </c:numRef>
          </c:val>
          <c:extLst>
            <c:ext xmlns:c16="http://schemas.microsoft.com/office/drawing/2014/chart" uri="{C3380CC4-5D6E-409C-BE32-E72D297353CC}">
              <c16:uniqueId val="{00000002-D449-CB4F-A9C2-4F7A53CD28AF}"/>
            </c:ext>
          </c:extLst>
        </c:ser>
        <c:ser>
          <c:idx val="2"/>
          <c:order val="2"/>
          <c:tx>
            <c:strRef>
              <c:f>'Working capital'!$B$11</c:f>
              <c:strCache>
                <c:ptCount val="1"/>
                <c:pt idx="0">
                  <c:v>DPO</c:v>
                </c:pt>
              </c:strCache>
            </c:strRef>
          </c:tx>
          <c:spPr>
            <a:solidFill>
              <a:schemeClr val="accent2">
                <a:lumMod val="75000"/>
              </a:schemeClr>
            </a:solidFill>
          </c:spPr>
          <c:invertIfNegative val="0"/>
          <c:dLbls>
            <c:spPr>
              <a:noFill/>
              <a:ln>
                <a:noFill/>
              </a:ln>
              <a:effectLst/>
            </c:spPr>
            <c:txPr>
              <a:bodyPr/>
              <a:lstStyle/>
              <a:p>
                <a:pPr>
                  <a:defRPr b="1">
                    <a:solidFill>
                      <a:schemeClr val="bg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'Working capital'!$C$3:$K$3</c:f>
              <c:strCache>
                <c:ptCount val="9"/>
                <c:pt idx="0">
                  <c:v>FY 2022
Actual </c:v>
                </c:pt>
                <c:pt idx="1">
                  <c:v>FY 2023
Actual </c:v>
                </c:pt>
                <c:pt idx="2">
                  <c:v>FY 2024
Actual </c:v>
                </c:pt>
                <c:pt idx="4">
                  <c:v>FY 2025
Forecast </c:v>
                </c:pt>
                <c:pt idx="5">
                  <c:v>FY 2026
Forecast </c:v>
                </c:pt>
                <c:pt idx="6">
                  <c:v>FY 2027
Forecast </c:v>
                </c:pt>
                <c:pt idx="7">
                  <c:v>FY 2028
Forecast </c:v>
                </c:pt>
                <c:pt idx="8">
                  <c:v>FY 2029
Forecast </c:v>
                </c:pt>
              </c:strCache>
            </c:strRef>
          </c:cat>
          <c:val>
            <c:numRef>
              <c:f>'Working capital'!$C$11:$K$11</c:f>
              <c:numCache>
                <c:formatCode>_(* #,##0_);_(* \(#,##0\);_(* "-"??_);_(@_)</c:formatCode>
                <c:ptCount val="9"/>
                <c:pt idx="0">
                  <c:v>581.58570993227613</c:v>
                </c:pt>
                <c:pt idx="1">
                  <c:v>544.20320198290244</c:v>
                </c:pt>
                <c:pt idx="2">
                  <c:v>424.04127844087293</c:v>
                </c:pt>
                <c:pt idx="3">
                  <c:v>0</c:v>
                </c:pt>
                <c:pt idx="4">
                  <c:v>500</c:v>
                </c:pt>
                <c:pt idx="5">
                  <c:v>500</c:v>
                </c:pt>
                <c:pt idx="6">
                  <c:v>500</c:v>
                </c:pt>
                <c:pt idx="7">
                  <c:v>500</c:v>
                </c:pt>
                <c:pt idx="8">
                  <c:v>500</c:v>
                </c:pt>
              </c:numCache>
            </c:numRef>
          </c:val>
          <c:extLst>
            <c:ext xmlns:c16="http://schemas.microsoft.com/office/drawing/2014/chart" uri="{C3380CC4-5D6E-409C-BE32-E72D297353CC}">
              <c16:uniqueId val="{00000003-D449-CB4F-A9C2-4F7A53CD28AF}"/>
            </c:ext>
          </c:extLst>
        </c:ser>
        <c:dLbls>
          <c:showLegendKey val="0"/>
          <c:showVal val="0"/>
          <c:showCatName val="0"/>
          <c:showSerName val="0"/>
          <c:showPercent val="0"/>
          <c:showBubbleSize val="0"/>
        </c:dLbls>
        <c:gapWidth val="30"/>
        <c:axId val="105126912"/>
        <c:axId val="105140992"/>
      </c:barChart>
      <c:catAx>
        <c:axId val="105126912"/>
        <c:scaling>
          <c:orientation val="minMax"/>
        </c:scaling>
        <c:delete val="0"/>
        <c:axPos val="b"/>
        <c:numFmt formatCode="General" sourceLinked="0"/>
        <c:majorTickMark val="out"/>
        <c:minorTickMark val="none"/>
        <c:tickLblPos val="nextTo"/>
        <c:crossAx val="105140992"/>
        <c:crosses val="autoZero"/>
        <c:auto val="1"/>
        <c:lblAlgn val="ctr"/>
        <c:lblOffset val="100"/>
        <c:noMultiLvlLbl val="0"/>
      </c:catAx>
      <c:valAx>
        <c:axId val="105140992"/>
        <c:scaling>
          <c:orientation val="minMax"/>
          <c:max val="1520"/>
          <c:min val="30"/>
        </c:scaling>
        <c:delete val="0"/>
        <c:axPos val="l"/>
        <c:majorGridlines>
          <c:spPr>
            <a:ln>
              <a:solidFill>
                <a:schemeClr val="bg1">
                  <a:lumMod val="65000"/>
                  <a:alpha val="34000"/>
                </a:schemeClr>
              </a:solidFill>
            </a:ln>
          </c:spPr>
        </c:majorGridlines>
        <c:title>
          <c:tx>
            <c:rich>
              <a:bodyPr rot="-5400000" vert="horz"/>
              <a:lstStyle/>
              <a:p>
                <a:pPr>
                  <a:defRPr b="0"/>
                </a:pPr>
                <a:r>
                  <a:rPr lang="en-US" b="0"/>
                  <a:t>days</a:t>
                </a:r>
              </a:p>
            </c:rich>
          </c:tx>
          <c:overlay val="0"/>
        </c:title>
        <c:numFmt formatCode="_(* #,##0_);_(* \(#,##0\);_(* &quot;-&quot;??_);_(@_)" sourceLinked="1"/>
        <c:majorTickMark val="out"/>
        <c:minorTickMark val="none"/>
        <c:tickLblPos val="nextTo"/>
        <c:crossAx val="105126912"/>
        <c:crosses val="autoZero"/>
        <c:crossBetween val="between"/>
        <c:majorUnit val="500"/>
      </c:valAx>
      <c:valAx>
        <c:axId val="105142912"/>
        <c:scaling>
          <c:orientation val="minMax"/>
          <c:min val="30000"/>
        </c:scaling>
        <c:delete val="0"/>
        <c:axPos val="r"/>
        <c:title>
          <c:tx>
            <c:rich>
              <a:bodyPr rot="-5400000" vert="horz"/>
              <a:lstStyle/>
              <a:p>
                <a:pPr>
                  <a:defRPr/>
                </a:pPr>
                <a:r>
                  <a:rPr lang="en-US" b="0"/>
                  <a:t>AED in</a:t>
                </a:r>
                <a:r>
                  <a:rPr lang="en-US" b="0" baseline="0"/>
                  <a:t> millions</a:t>
                </a:r>
                <a:endParaRPr lang="en-US" b="0"/>
              </a:p>
            </c:rich>
          </c:tx>
          <c:overlay val="0"/>
        </c:title>
        <c:numFmt formatCode="_(* #,##0_);_(* \(#,##0\);_(* &quot;-&quot;??_);_(@_)" sourceLinked="1"/>
        <c:majorTickMark val="out"/>
        <c:minorTickMark val="none"/>
        <c:tickLblPos val="nextTo"/>
        <c:crossAx val="105145088"/>
        <c:crosses val="max"/>
        <c:crossBetween val="between"/>
        <c:majorUnit val="10000"/>
      </c:valAx>
      <c:catAx>
        <c:axId val="105145088"/>
        <c:scaling>
          <c:orientation val="minMax"/>
        </c:scaling>
        <c:delete val="1"/>
        <c:axPos val="b"/>
        <c:majorTickMark val="out"/>
        <c:minorTickMark val="none"/>
        <c:tickLblPos val="nextTo"/>
        <c:crossAx val="105142912"/>
        <c:crosses val="autoZero"/>
        <c:auto val="1"/>
        <c:lblAlgn val="ctr"/>
        <c:lblOffset val="100"/>
        <c:noMultiLvlLbl val="0"/>
      </c:catAx>
    </c:plotArea>
    <c:legend>
      <c:legendPos val="b"/>
      <c:overlay val="0"/>
    </c:legend>
    <c:plotVisOnly val="1"/>
    <c:dispBlanksAs val="gap"/>
    <c:showDLblsOverMax val="0"/>
  </c:chart>
  <c:spPr>
    <a:noFill/>
    <a:ln>
      <a:noFill/>
    </a:ln>
  </c:spPr>
  <c:txPr>
    <a:bodyPr/>
    <a:lstStyle/>
    <a:p>
      <a:pPr>
        <a:defRPr sz="800">
          <a:latin typeface="Arial" pitchFamily="34" charset="0"/>
          <a:cs typeface="Arial" pitchFamily="34" charset="0"/>
        </a:defRPr>
      </a:pPr>
      <a:endParaRPr lang="en-US"/>
    </a:p>
  </c:txPr>
  <c:printSettings>
    <c:headerFooter/>
    <c:pageMargins b="0.75" l="0.7" r="0.7" t="0.75" header="0.3" footer="0.3"/>
    <c:pageSetup/>
  </c:printSettings>
  <c:userShapes r:id="rId1"/>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7</xdr:col>
      <xdr:colOff>17584</xdr:colOff>
      <xdr:row>18</xdr:row>
      <xdr:rowOff>111370</xdr:rowOff>
    </xdr:from>
    <xdr:to>
      <xdr:col>10</xdr:col>
      <xdr:colOff>603738</xdr:colOff>
      <xdr:row>19</xdr:row>
      <xdr:rowOff>128954</xdr:rowOff>
    </xdr:to>
    <xdr:sp macro="" textlink="">
      <xdr:nvSpPr>
        <xdr:cNvPr id="2" name="TextBox 1">
          <a:extLst>
            <a:ext uri="{FF2B5EF4-FFF2-40B4-BE49-F238E27FC236}">
              <a16:creationId xmlns:a16="http://schemas.microsoft.com/office/drawing/2014/main" id="{9DF076ED-7653-8349-965E-1D81D1640E3E}"/>
            </a:ext>
          </a:extLst>
        </xdr:cNvPr>
        <xdr:cNvSpPr txBox="1"/>
      </xdr:nvSpPr>
      <xdr:spPr>
        <a:xfrm>
          <a:off x="5148384" y="2981570"/>
          <a:ext cx="2681654" cy="169984"/>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WACC</a:t>
          </a:r>
        </a:p>
      </xdr:txBody>
    </xdr:sp>
    <xdr:clientData/>
  </xdr:twoCellAnchor>
  <xdr:twoCellAnchor>
    <xdr:from>
      <xdr:col>6</xdr:col>
      <xdr:colOff>193430</xdr:colOff>
      <xdr:row>21</xdr:row>
      <xdr:rowOff>5862</xdr:rowOff>
    </xdr:from>
    <xdr:to>
      <xdr:col>6</xdr:col>
      <xdr:colOff>445477</xdr:colOff>
      <xdr:row>24</xdr:row>
      <xdr:rowOff>134815</xdr:rowOff>
    </xdr:to>
    <xdr:sp macro="" textlink="">
      <xdr:nvSpPr>
        <xdr:cNvPr id="3" name="TextBox 2">
          <a:extLst>
            <a:ext uri="{FF2B5EF4-FFF2-40B4-BE49-F238E27FC236}">
              <a16:creationId xmlns:a16="http://schemas.microsoft.com/office/drawing/2014/main" id="{A7A11ACC-2566-894E-A47B-4DE526E2BE77}"/>
            </a:ext>
          </a:extLst>
        </xdr:cNvPr>
        <xdr:cNvSpPr txBox="1"/>
      </xdr:nvSpPr>
      <xdr:spPr>
        <a:xfrm>
          <a:off x="4562230" y="3333262"/>
          <a:ext cx="252047" cy="586153"/>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9</xdr:row>
      <xdr:rowOff>95250</xdr:rowOff>
    </xdr:from>
    <xdr:to>
      <xdr:col>5</xdr:col>
      <xdr:colOff>104776</xdr:colOff>
      <xdr:row>24</xdr:row>
      <xdr:rowOff>90486</xdr:rowOff>
    </xdr:to>
    <xdr:graphicFrame macro="">
      <xdr:nvGraphicFramePr>
        <xdr:cNvPr id="2" name="Chart 1">
          <a:extLst>
            <a:ext uri="{FF2B5EF4-FFF2-40B4-BE49-F238E27FC236}">
              <a16:creationId xmlns:a16="http://schemas.microsoft.com/office/drawing/2014/main" id="{F264EE2A-8B5C-9944-993D-477692410C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104776</xdr:colOff>
      <xdr:row>9</xdr:row>
      <xdr:rowOff>95250</xdr:rowOff>
    </xdr:from>
    <xdr:to>
      <xdr:col>10</xdr:col>
      <xdr:colOff>419101</xdr:colOff>
      <xdr:row>24</xdr:row>
      <xdr:rowOff>90486</xdr:rowOff>
    </xdr:to>
    <xdr:graphicFrame macro="">
      <xdr:nvGraphicFramePr>
        <xdr:cNvPr id="3" name="Chart 2">
          <a:extLst>
            <a:ext uri="{FF2B5EF4-FFF2-40B4-BE49-F238E27FC236}">
              <a16:creationId xmlns:a16="http://schemas.microsoft.com/office/drawing/2014/main" id="{055F84DC-04D7-944F-9EA9-1ED4F55BA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104776</xdr:colOff>
      <xdr:row>9</xdr:row>
      <xdr:rowOff>95250</xdr:rowOff>
    </xdr:from>
    <xdr:to>
      <xdr:col>16</xdr:col>
      <xdr:colOff>419101</xdr:colOff>
      <xdr:row>24</xdr:row>
      <xdr:rowOff>90486</xdr:rowOff>
    </xdr:to>
    <xdr:graphicFrame macro="">
      <xdr:nvGraphicFramePr>
        <xdr:cNvPr id="4" name="Chart 3">
          <a:extLst>
            <a:ext uri="{FF2B5EF4-FFF2-40B4-BE49-F238E27FC236}">
              <a16:creationId xmlns:a16="http://schemas.microsoft.com/office/drawing/2014/main" id="{058A252E-934C-6949-897D-6D13504AD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0.23491</cdr:x>
      <cdr:y>0.47321</cdr:y>
    </cdr:from>
    <cdr:to>
      <cdr:x>0.48747</cdr:x>
      <cdr:y>0.58177</cdr:y>
    </cdr:to>
    <cdr:sp macro="" textlink="">
      <cdr:nvSpPr>
        <cdr:cNvPr id="3" name="TextBox 4"/>
        <cdr:cNvSpPr txBox="1"/>
      </cdr:nvSpPr>
      <cdr:spPr>
        <a:xfrm xmlns:a="http://schemas.openxmlformats.org/drawingml/2006/main">
          <a:off x="803275" y="1079500"/>
          <a:ext cx="863601" cy="247649"/>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$206.160,3b</a:t>
          </a:r>
        </a:p>
      </cdr:txBody>
    </cdr:sp>
  </cdr:relSizeAnchor>
</c:userShapes>
</file>

<file path=xl/drawings/drawing4.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0.23491</cdr:x>
      <cdr:y>0.47321</cdr:y>
    </cdr:from>
    <cdr:to>
      <cdr:x>0.48747</cdr:x>
      <cdr:y>0.58177</cdr:y>
    </cdr:to>
    <cdr:sp macro="" textlink="">
      <cdr:nvSpPr>
        <cdr:cNvPr id="3" name="TextBox 4"/>
        <cdr:cNvSpPr txBox="1"/>
      </cdr:nvSpPr>
      <cdr:spPr>
        <a:xfrm xmlns:a="http://schemas.openxmlformats.org/drawingml/2006/main">
          <a:off x="803275" y="1079500"/>
          <a:ext cx="863601" cy="247649"/>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$153.610,6b</a:t>
          </a:r>
        </a:p>
      </cdr:txBody>
    </cdr:sp>
  </cdr:relSizeAnchor>
</c:userShapes>
</file>

<file path=xl/drawings/drawing5.xml><?xml version="1.0" encoding="utf-8"?>
<c:userShapes xmlns:c="http://schemas.openxmlformats.org/drawingml/2006/chart">
  <cdr:relSizeAnchor xmlns:cdr="http://schemas.openxmlformats.org/drawingml/2006/chartDrawing">
    <cdr:from>
      <cdr:x>0.18942</cdr:x>
      <cdr:y>0.4058</cdr:y>
    </cdr:from>
    <cdr:to>
      <cdr:x>0.48468</cdr:x>
      <cdr:y>0.55901</cdr:y>
    </cdr:to>
    <cdr:sp macro="" textlink="">
      <cdr:nvSpPr>
        <cdr:cNvPr id="2" name="TextBox 1"/>
        <cdr:cNvSpPr txBox="1"/>
      </cdr:nvSpPr>
      <cdr:spPr>
        <a:xfrm xmlns:a="http://schemas.openxmlformats.org/drawingml/2006/main">
          <a:off x="647701" y="933451"/>
          <a:ext cx="1009650"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0.23491</cdr:x>
      <cdr:y>0.47321</cdr:y>
    </cdr:from>
    <cdr:to>
      <cdr:x>0.48747</cdr:x>
      <cdr:y>0.58177</cdr:y>
    </cdr:to>
    <cdr:sp macro="" textlink="">
      <cdr:nvSpPr>
        <cdr:cNvPr id="3" name="TextBox 4"/>
        <cdr:cNvSpPr txBox="1"/>
      </cdr:nvSpPr>
      <cdr:spPr>
        <a:xfrm xmlns:a="http://schemas.openxmlformats.org/drawingml/2006/main">
          <a:off x="803275" y="1079500"/>
          <a:ext cx="863601" cy="247649"/>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bg1">
              <a:lumMod val="65000"/>
            </a:schemeClr>
          </a:solidFill>
        </a:ln>
        <a:effectLst xmlns:a="http://schemas.openxmlformats.org/drawingml/2006/main">
          <a:outerShdw blurRad="50800" dist="50800" dir="5400000" algn="ctr" rotWithShape="0">
            <a:srgbClr val="000000">
              <a:alpha val="24000"/>
            </a:srgbClr>
          </a:outerShdw>
        </a:effectLst>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latin typeface="Arial" pitchFamily="34" charset="0"/>
              <a:cs typeface="Arial" pitchFamily="34" charset="0"/>
            </a:rPr>
            <a:t>$71.178,5b</a:t>
          </a:r>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47625</xdr:colOff>
      <xdr:row>7</xdr:row>
      <xdr:rowOff>47624</xdr:rowOff>
    </xdr:from>
    <xdr:to>
      <xdr:col>13</xdr:col>
      <xdr:colOff>190500</xdr:colOff>
      <xdr:row>34</xdr:row>
      <xdr:rowOff>114299</xdr:rowOff>
    </xdr:to>
    <xdr:graphicFrame macro="">
      <xdr:nvGraphicFramePr>
        <xdr:cNvPr id="2" name="Chart 1">
          <a:extLst>
            <a:ext uri="{FF2B5EF4-FFF2-40B4-BE49-F238E27FC236}">
              <a16:creationId xmlns:a16="http://schemas.microsoft.com/office/drawing/2014/main" id="{4D0E60B8-9759-BB45-86A8-262BAA2C5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0.49319</cdr:x>
      <cdr:y>0.11574</cdr:y>
    </cdr:from>
    <cdr:to>
      <cdr:x>0.92949</cdr:x>
      <cdr:y>0.18519</cdr:y>
    </cdr:to>
    <cdr:sp macro="" textlink="">
      <cdr:nvSpPr>
        <cdr:cNvPr id="4" name="TextBox 2"/>
        <cdr:cNvSpPr txBox="1"/>
      </cdr:nvSpPr>
      <cdr:spPr>
        <a:xfrm xmlns:a="http://schemas.openxmlformats.org/drawingml/2006/main">
          <a:off x="3908425" y="317500"/>
          <a:ext cx="3457575" cy="190500"/>
        </a:xfrm>
        <a:prstGeom xmlns:a="http://schemas.openxmlformats.org/drawingml/2006/main" prst="rect">
          <a:avLst/>
        </a:prstGeom>
        <a:solidFill xmlns:a="http://schemas.openxmlformats.org/drawingml/2006/main">
          <a:schemeClr val="accent1">
            <a:lumMod val="75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Forecast period</a:t>
          </a:r>
        </a:p>
      </cdr:txBody>
    </cdr:sp>
  </cdr:relSizeAnchor>
  <cdr:relSizeAnchor xmlns:cdr="http://schemas.openxmlformats.org/drawingml/2006/chartDrawing">
    <cdr:from>
      <cdr:x>0.1242</cdr:x>
      <cdr:y>0.11574</cdr:y>
    </cdr:from>
    <cdr:to>
      <cdr:x>0.38141</cdr:x>
      <cdr:y>0.18866</cdr:y>
    </cdr:to>
    <cdr:sp macro="" textlink="">
      <cdr:nvSpPr>
        <cdr:cNvPr id="5" name="TextBox 3"/>
        <cdr:cNvSpPr txBox="1"/>
      </cdr:nvSpPr>
      <cdr:spPr>
        <a:xfrm xmlns:a="http://schemas.openxmlformats.org/drawingml/2006/main">
          <a:off x="984250" y="317500"/>
          <a:ext cx="2038350" cy="200024"/>
        </a:xfrm>
        <a:prstGeom xmlns:a="http://schemas.openxmlformats.org/drawingml/2006/main" prst="rect">
          <a:avLst/>
        </a:prstGeom>
        <a:solidFill xmlns:a="http://schemas.openxmlformats.org/drawingml/2006/main">
          <a:srgbClr val="002060"/>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Historical figures</a:t>
          </a:r>
        </a:p>
      </cdr:txBody>
    </cdr:sp>
  </cdr:relSizeAnchor>
</c:userShapes>
</file>

<file path=xl/drawings/drawing8.xml><?xml version="1.0" encoding="utf-8"?>
<xdr:wsDr xmlns:xdr="http://schemas.openxmlformats.org/drawingml/2006/spreadsheetDrawing" xmlns:a="http://schemas.openxmlformats.org/drawingml/2006/main">
  <xdr:twoCellAnchor>
    <xdr:from>
      <xdr:col>1</xdr:col>
      <xdr:colOff>0</xdr:colOff>
      <xdr:row>6</xdr:row>
      <xdr:rowOff>114300</xdr:rowOff>
    </xdr:from>
    <xdr:to>
      <xdr:col>11</xdr:col>
      <xdr:colOff>533400</xdr:colOff>
      <xdr:row>25</xdr:row>
      <xdr:rowOff>71437</xdr:rowOff>
    </xdr:to>
    <xdr:graphicFrame macro="">
      <xdr:nvGraphicFramePr>
        <xdr:cNvPr id="2" name="Chart 1">
          <a:extLst>
            <a:ext uri="{FF2B5EF4-FFF2-40B4-BE49-F238E27FC236}">
              <a16:creationId xmlns:a16="http://schemas.microsoft.com/office/drawing/2014/main" id="{C5709C8D-AAAB-3340-84D2-23CBA6A4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66674</xdr:colOff>
      <xdr:row>9</xdr:row>
      <xdr:rowOff>0</xdr:rowOff>
    </xdr:from>
    <xdr:to>
      <xdr:col>14</xdr:col>
      <xdr:colOff>177799</xdr:colOff>
      <xdr:row>40</xdr:row>
      <xdr:rowOff>38100</xdr:rowOff>
    </xdr:to>
    <xdr:graphicFrame macro="">
      <xdr:nvGraphicFramePr>
        <xdr:cNvPr id="2" name="Chart 1">
          <a:extLst>
            <a:ext uri="{FF2B5EF4-FFF2-40B4-BE49-F238E27FC236}">
              <a16:creationId xmlns:a16="http://schemas.microsoft.com/office/drawing/2014/main" id="{36FCE6C1-0D04-8145-BEE7-B45FA010A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28574</xdr:colOff>
      <xdr:row>12</xdr:row>
      <xdr:rowOff>66674</xdr:rowOff>
    </xdr:from>
    <xdr:to>
      <xdr:col>12</xdr:col>
      <xdr:colOff>419099</xdr:colOff>
      <xdr:row>34</xdr:row>
      <xdr:rowOff>38099</xdr:rowOff>
    </xdr:to>
    <xdr:graphicFrame macro="">
      <xdr:nvGraphicFramePr>
        <xdr:cNvPr id="2" name="Chart 1">
          <a:extLst>
            <a:ext uri="{FF2B5EF4-FFF2-40B4-BE49-F238E27FC236}">
              <a16:creationId xmlns:a16="http://schemas.microsoft.com/office/drawing/2014/main" id="{EA651FF4-FC74-5B47-B4A5-F8DA26591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0.46014</cdr:x>
      <cdr:y>0.11969</cdr:y>
    </cdr:from>
    <cdr:to>
      <cdr:x>0.88972</cdr:x>
      <cdr:y>0.19552</cdr:y>
    </cdr:to>
    <cdr:sp macro="" textlink="">
      <cdr:nvSpPr>
        <cdr:cNvPr id="2" name="TextBox 2"/>
        <cdr:cNvSpPr txBox="1"/>
      </cdr:nvSpPr>
      <cdr:spPr>
        <a:xfrm xmlns:a="http://schemas.openxmlformats.org/drawingml/2006/main">
          <a:off x="3317805" y="301542"/>
          <a:ext cx="3097454" cy="191044"/>
        </a:xfrm>
        <a:prstGeom xmlns:a="http://schemas.openxmlformats.org/drawingml/2006/main" prst="rect">
          <a:avLst/>
        </a:prstGeom>
        <a:solidFill xmlns:a="http://schemas.openxmlformats.org/drawingml/2006/main">
          <a:schemeClr val="accent1">
            <a:lumMod val="75000"/>
          </a:schemeClr>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Forecast period</a:t>
          </a:r>
        </a:p>
      </cdr:txBody>
    </cdr:sp>
  </cdr:relSizeAnchor>
  <cdr:relSizeAnchor xmlns:cdr="http://schemas.openxmlformats.org/drawingml/2006/chartDrawing">
    <cdr:from>
      <cdr:x>0.08839</cdr:x>
      <cdr:y>0.11969</cdr:y>
    </cdr:from>
    <cdr:to>
      <cdr:x>0.35357</cdr:x>
      <cdr:y>0.19509</cdr:y>
    </cdr:to>
    <cdr:sp macro="" textlink="">
      <cdr:nvSpPr>
        <cdr:cNvPr id="3" name="TextBox 3"/>
        <cdr:cNvSpPr txBox="1"/>
      </cdr:nvSpPr>
      <cdr:spPr>
        <a:xfrm xmlns:a="http://schemas.openxmlformats.org/drawingml/2006/main">
          <a:off x="679450" y="317499"/>
          <a:ext cx="2038350" cy="200024"/>
        </a:xfrm>
        <a:prstGeom xmlns:a="http://schemas.openxmlformats.org/drawingml/2006/main" prst="rect">
          <a:avLst/>
        </a:prstGeom>
        <a:solidFill xmlns:a="http://schemas.openxmlformats.org/drawingml/2006/main">
          <a:srgbClr val="002060"/>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b="1">
              <a:solidFill>
                <a:schemeClr val="bg1"/>
              </a:solidFill>
              <a:latin typeface="Arial" pitchFamily="34" charset="0"/>
              <a:cs typeface="Arial" pitchFamily="34" charset="0"/>
            </a:rPr>
            <a:t>Historical figures</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20A34-98A0-B148-BEF5-4287C7B211B1}">
  <sheetPr>
    <tabColor rgb="FF002060"/>
  </sheetPr>
  <dimension ref="B1:C20"/>
  <sheetViews>
    <sheetView tabSelected="1" zoomScale="130" zoomScaleNormal="130" workbookViewId="0">
      <pane xSplit="3" ySplit="4" topLeftCell="D5" activePane="bottomRight" state="frozen"/>
      <selection activeCell="C23" sqref="C23"/>
      <selection pane="topRight" activeCell="C23" sqref="C23"/>
      <selection pane="bottomLeft" activeCell="C23" sqref="C23"/>
      <selection pane="bottomRight" activeCell="B1" sqref="B1"/>
    </sheetView>
  </sheetViews>
  <sheetFormatPr baseColWidth="10" defaultColWidth="9.1640625" defaultRowHeight="12" x14ac:dyDescent="0.15"/>
  <cols>
    <col min="1" max="1" width="2" style="2" customWidth="1"/>
    <col min="2" max="2" width="10" style="2" customWidth="1"/>
    <col min="3" max="3" width="26" style="2" customWidth="1"/>
    <col min="4" max="16384" width="9.1640625" style="2"/>
  </cols>
  <sheetData>
    <row r="1" spans="2:3" ht="16" x14ac:dyDescent="0.2">
      <c r="B1" s="1" t="s">
        <v>378</v>
      </c>
    </row>
    <row r="2" spans="2:3" x14ac:dyDescent="0.15">
      <c r="B2" s="3" t="s">
        <v>1</v>
      </c>
    </row>
    <row r="4" spans="2:3" ht="14" thickBot="1" x14ac:dyDescent="0.2">
      <c r="B4" s="4" t="s">
        <v>2</v>
      </c>
      <c r="C4" s="4" t="s">
        <v>3</v>
      </c>
    </row>
    <row r="5" spans="2:3" x14ac:dyDescent="0.15">
      <c r="B5" s="5">
        <v>1</v>
      </c>
      <c r="C5" s="6" t="s">
        <v>173</v>
      </c>
    </row>
    <row r="6" spans="2:3" x14ac:dyDescent="0.15">
      <c r="B6" s="143">
        <f>B5+1</f>
        <v>2</v>
      </c>
      <c r="C6" s="144" t="s">
        <v>13</v>
      </c>
    </row>
    <row r="7" spans="2:3" x14ac:dyDescent="0.15">
      <c r="B7" s="143">
        <f t="shared" ref="B7:B20" si="0">B6+1</f>
        <v>3</v>
      </c>
      <c r="C7" s="144" t="s">
        <v>14</v>
      </c>
    </row>
    <row r="8" spans="2:3" x14ac:dyDescent="0.15">
      <c r="B8" s="143">
        <v>4</v>
      </c>
      <c r="C8" s="144" t="s">
        <v>230</v>
      </c>
    </row>
    <row r="9" spans="2:3" x14ac:dyDescent="0.15">
      <c r="B9" s="5">
        <f>B7+1</f>
        <v>4</v>
      </c>
      <c r="C9" s="6" t="s">
        <v>172</v>
      </c>
    </row>
    <row r="10" spans="2:3" x14ac:dyDescent="0.15">
      <c r="B10" s="143">
        <f t="shared" si="0"/>
        <v>5</v>
      </c>
      <c r="C10" s="144" t="s">
        <v>374</v>
      </c>
    </row>
    <row r="11" spans="2:3" x14ac:dyDescent="0.15">
      <c r="B11" s="143">
        <f t="shared" si="0"/>
        <v>6</v>
      </c>
      <c r="C11" s="144" t="s">
        <v>375</v>
      </c>
    </row>
    <row r="12" spans="2:3" x14ac:dyDescent="0.15">
      <c r="B12" s="143">
        <f t="shared" si="0"/>
        <v>7</v>
      </c>
      <c r="C12" s="144" t="s">
        <v>7</v>
      </c>
    </row>
    <row r="13" spans="2:3" x14ac:dyDescent="0.15">
      <c r="B13" s="5">
        <f t="shared" si="0"/>
        <v>8</v>
      </c>
      <c r="C13" s="6" t="s">
        <v>171</v>
      </c>
    </row>
    <row r="14" spans="2:3" x14ac:dyDescent="0.15">
      <c r="B14" s="143">
        <f t="shared" si="0"/>
        <v>9</v>
      </c>
      <c r="C14" s="144" t="s">
        <v>8</v>
      </c>
    </row>
    <row r="15" spans="2:3" x14ac:dyDescent="0.15">
      <c r="B15" s="143">
        <f t="shared" si="0"/>
        <v>10</v>
      </c>
      <c r="C15" s="144" t="s">
        <v>12</v>
      </c>
    </row>
    <row r="16" spans="2:3" x14ac:dyDescent="0.15">
      <c r="B16" s="5">
        <f t="shared" si="0"/>
        <v>11</v>
      </c>
      <c r="C16" s="6" t="s">
        <v>376</v>
      </c>
    </row>
    <row r="17" spans="2:3" x14ac:dyDescent="0.15">
      <c r="B17" s="143">
        <f t="shared" si="0"/>
        <v>12</v>
      </c>
      <c r="C17" s="144" t="s">
        <v>377</v>
      </c>
    </row>
    <row r="18" spans="2:3" x14ac:dyDescent="0.15">
      <c r="B18" s="143">
        <f t="shared" si="0"/>
        <v>13</v>
      </c>
      <c r="C18" s="144" t="s">
        <v>9</v>
      </c>
    </row>
    <row r="19" spans="2:3" x14ac:dyDescent="0.15">
      <c r="B19" s="143">
        <f t="shared" si="0"/>
        <v>14</v>
      </c>
      <c r="C19" s="144" t="s">
        <v>10</v>
      </c>
    </row>
    <row r="20" spans="2:3" x14ac:dyDescent="0.15">
      <c r="B20" s="143">
        <f t="shared" si="0"/>
        <v>15</v>
      </c>
      <c r="C20" s="144" t="s">
        <v>11</v>
      </c>
    </row>
  </sheetData>
  <hyperlinks>
    <hyperlink ref="C6" location="'P&amp;L source'!A1" display="P&amp;L source" xr:uid="{1E728A62-8BF8-6746-B3F6-878CDC5D8330}"/>
    <hyperlink ref="C7" location="'BS source'!A1" display="BS source" xr:uid="{FC03F18D-7C30-2A4F-850B-4005D7A1F69F}"/>
    <hyperlink ref="C10" location="Assumptions!A1" display="Assumptions" xr:uid="{566BA150-2C85-5749-94EE-4CF4EE14BD89}"/>
    <hyperlink ref="C11" location="'P&amp;L and BS'!A1" display="P&amp;L and BS" xr:uid="{08847296-21DE-B84E-A941-8E88DDC01505}"/>
    <hyperlink ref="C12" location="'Cash Flow'!A1" display="Cash Flow" xr:uid="{20C2FA7D-287B-DF45-88F3-41E394D6DD0D}"/>
    <hyperlink ref="C14" location="'DCF valuation'!A1" display="DCF valuation" xr:uid="{7994852C-F605-6443-8281-E6E89E6C5C81}"/>
    <hyperlink ref="C15" location="'DCF results'!A1" display="DCF results" xr:uid="{A21A1FF2-7609-AE4D-9AA9-AEB4DFC95508}"/>
    <hyperlink ref="C17" location="'Revenues&amp;Ebitda'!A1" display="Revenues&amp;Ebitda" xr:uid="{FCEC9FF9-99A8-AB4D-8D90-387DAF64D916}"/>
    <hyperlink ref="C18" location="'Cash flows'!A1" display="Cash flows" xr:uid="{D2D67D64-8381-1B4D-921D-BAB211D9F265}"/>
    <hyperlink ref="C19" location="'Ebitda bridge'!A1" display="Ebitda bridge" xr:uid="{BDADF6C9-F9A7-7B42-AD30-1394D3B6E7BB}"/>
    <hyperlink ref="C20" location="'Working capital'!A1" display="Working capital" xr:uid="{92C6835A-0CDB-5449-B93F-1F464CBF64CB}"/>
    <hyperlink ref="C8" location="'CF source'!A1" display="CF source" xr:uid="{5C7850EE-9C35-EB45-9588-122B9445AA5A}"/>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82244-238F-BE40-BE26-B2879457F0CF}">
  <sheetPr>
    <tabColor rgb="FF002060"/>
  </sheetPr>
  <dimension ref="B1:B11"/>
  <sheetViews>
    <sheetView zoomScale="130" zoomScaleNormal="130" workbookViewId="0">
      <selection activeCell="B12" sqref="B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7" t="s">
        <v>173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6B8B-7C95-844B-A740-6403B8FDDB37}">
  <dimension ref="B1:M54"/>
  <sheetViews>
    <sheetView zoomScale="109" zoomScaleNormal="130" workbookViewId="0"/>
  </sheetViews>
  <sheetFormatPr baseColWidth="10" defaultColWidth="9.1640625" defaultRowHeight="12" x14ac:dyDescent="0.15"/>
  <cols>
    <col min="1" max="1" width="2" style="9" customWidth="1"/>
    <col min="2" max="2" width="37.83203125" style="9" customWidth="1"/>
    <col min="3" max="3" width="9.1640625" style="9"/>
    <col min="4" max="6" width="10.5" style="9" bestFit="1" customWidth="1"/>
    <col min="7" max="16384" width="9.1640625" style="9"/>
  </cols>
  <sheetData>
    <row r="1" spans="2:13" ht="16" x14ac:dyDescent="0.2">
      <c r="B1" s="8" t="s">
        <v>13</v>
      </c>
    </row>
    <row r="2" spans="2:13" x14ac:dyDescent="0.15">
      <c r="B2" s="9" t="s">
        <v>104</v>
      </c>
    </row>
    <row r="3" spans="2:13" ht="26" x14ac:dyDescent="0.15">
      <c r="B3" s="86" t="s">
        <v>105</v>
      </c>
      <c r="C3" s="86"/>
      <c r="D3" s="87" t="s">
        <v>106</v>
      </c>
      <c r="E3" s="87" t="s">
        <v>107</v>
      </c>
      <c r="F3" s="87" t="s">
        <v>108</v>
      </c>
    </row>
    <row r="4" spans="2:13" x14ac:dyDescent="0.15">
      <c r="B4" s="9" t="s">
        <v>177</v>
      </c>
    </row>
    <row r="5" spans="2:13" x14ac:dyDescent="0.15">
      <c r="B5" s="81" t="s">
        <v>178</v>
      </c>
      <c r="D5" s="9">
        <v>13244.13</v>
      </c>
      <c r="E5" s="9">
        <v>16526.037</v>
      </c>
      <c r="F5" s="9">
        <v>24967.785</v>
      </c>
      <c r="J5" s="14"/>
      <c r="K5" s="14"/>
      <c r="L5" s="14"/>
      <c r="M5" s="75"/>
    </row>
    <row r="6" spans="2:13" x14ac:dyDescent="0.15">
      <c r="B6" s="81" t="s">
        <v>179</v>
      </c>
      <c r="D6" s="9">
        <v>3024.49</v>
      </c>
      <c r="E6" s="9">
        <v>1307.31</v>
      </c>
      <c r="F6" s="9">
        <v>1562.7850000000001</v>
      </c>
    </row>
    <row r="7" spans="2:13" x14ac:dyDescent="0.15">
      <c r="B7" s="9" t="s">
        <v>109</v>
      </c>
      <c r="D7" s="14">
        <v>1559.27</v>
      </c>
      <c r="E7" s="14">
        <v>1791.55</v>
      </c>
      <c r="F7" s="14">
        <v>2015.01</v>
      </c>
    </row>
    <row r="8" spans="2:13" x14ac:dyDescent="0.15">
      <c r="B8" s="9" t="s">
        <v>110</v>
      </c>
      <c r="D8" s="14">
        <v>7097.79</v>
      </c>
      <c r="E8" s="14">
        <v>7124.93</v>
      </c>
      <c r="F8" s="14">
        <v>6959.34</v>
      </c>
    </row>
    <row r="9" spans="2:13" x14ac:dyDescent="0.15">
      <c r="B9" s="91" t="s">
        <v>95</v>
      </c>
      <c r="C9" s="24"/>
      <c r="D9" s="25">
        <v>24925.673999999999</v>
      </c>
      <c r="E9" s="25">
        <v>26749.821</v>
      </c>
      <c r="F9" s="25">
        <v>35504.92</v>
      </c>
    </row>
    <row r="10" spans="2:13" x14ac:dyDescent="0.15">
      <c r="D10" s="14"/>
      <c r="E10" s="14"/>
      <c r="F10" s="14"/>
    </row>
    <row r="11" spans="2:13" x14ac:dyDescent="0.15">
      <c r="B11" s="9" t="s">
        <v>111</v>
      </c>
      <c r="D11" s="14">
        <v>-7922.36</v>
      </c>
      <c r="E11" s="14">
        <v>-6749.14</v>
      </c>
      <c r="F11" s="14">
        <v>-12350.88</v>
      </c>
    </row>
    <row r="12" spans="2:13" x14ac:dyDescent="0.15">
      <c r="B12" s="9" t="s">
        <v>112</v>
      </c>
      <c r="D12" s="14">
        <v>-1361.55</v>
      </c>
      <c r="E12" s="14">
        <v>-727.03</v>
      </c>
      <c r="F12" s="14">
        <v>-767.73</v>
      </c>
    </row>
    <row r="13" spans="2:13" x14ac:dyDescent="0.15">
      <c r="B13" s="9" t="s">
        <v>113</v>
      </c>
      <c r="D13" s="14">
        <v>-275.73</v>
      </c>
      <c r="E13" s="14">
        <v>-756</v>
      </c>
      <c r="F13" s="14">
        <v>0</v>
      </c>
    </row>
    <row r="14" spans="2:13" x14ac:dyDescent="0.15">
      <c r="B14" s="9" t="s">
        <v>114</v>
      </c>
      <c r="D14" s="14">
        <v>-719.36</v>
      </c>
      <c r="E14" s="14">
        <v>-777.25</v>
      </c>
      <c r="F14" s="14">
        <v>-955.84</v>
      </c>
    </row>
    <row r="15" spans="2:13" x14ac:dyDescent="0.15">
      <c r="B15" s="9" t="s">
        <v>115</v>
      </c>
      <c r="D15" s="14">
        <v>-2059.36</v>
      </c>
      <c r="E15" s="14">
        <v>-875.08</v>
      </c>
      <c r="F15" s="14">
        <v>-1049.9100000000001</v>
      </c>
    </row>
    <row r="16" spans="2:13" x14ac:dyDescent="0.15">
      <c r="B16" s="91" t="s">
        <v>234</v>
      </c>
      <c r="C16" s="24"/>
      <c r="D16" s="25">
        <f>SUM(D11:D15)</f>
        <v>-12338.36</v>
      </c>
      <c r="E16" s="25">
        <f>SUM(E11:E15)</f>
        <v>-9884.5</v>
      </c>
      <c r="F16" s="25">
        <f>SUM(F11:F15)</f>
        <v>-15124.359999999999</v>
      </c>
    </row>
    <row r="17" spans="2:6" x14ac:dyDescent="0.15">
      <c r="B17" s="91" t="s">
        <v>116</v>
      </c>
      <c r="C17" s="24"/>
      <c r="D17" s="25">
        <v>12587.312</v>
      </c>
      <c r="E17" s="25">
        <v>16865.324000000001</v>
      </c>
      <c r="F17" s="25">
        <v>20380.554</v>
      </c>
    </row>
    <row r="19" spans="2:6" x14ac:dyDescent="0.15">
      <c r="B19" s="80" t="s">
        <v>119</v>
      </c>
      <c r="C19" s="77"/>
      <c r="D19" s="78"/>
      <c r="E19" s="78"/>
      <c r="F19" s="78"/>
    </row>
    <row r="20" spans="2:6" x14ac:dyDescent="0.15">
      <c r="B20" s="81" t="s">
        <v>117</v>
      </c>
      <c r="D20" s="14">
        <v>419.88499999999999</v>
      </c>
      <c r="E20" s="14">
        <v>553.23900000000003</v>
      </c>
      <c r="F20" s="14">
        <v>654.19899999999996</v>
      </c>
    </row>
    <row r="21" spans="2:6" x14ac:dyDescent="0.15">
      <c r="B21" s="81" t="s">
        <v>96</v>
      </c>
      <c r="D21" s="14">
        <v>-160.03800000000001</v>
      </c>
      <c r="E21" s="14">
        <v>-228.059</v>
      </c>
      <c r="F21" s="14">
        <v>-239.42</v>
      </c>
    </row>
    <row r="22" spans="2:6" x14ac:dyDescent="0.15">
      <c r="B22" s="81" t="s">
        <v>118</v>
      </c>
      <c r="D22" s="14">
        <v>-3521.797</v>
      </c>
      <c r="E22" s="14">
        <v>-2785.96</v>
      </c>
      <c r="F22" s="14">
        <v>-3232.28</v>
      </c>
    </row>
    <row r="23" spans="2:6" x14ac:dyDescent="0.15">
      <c r="B23" s="24" t="s">
        <v>35</v>
      </c>
      <c r="C23" s="24"/>
      <c r="D23" s="25">
        <f>SUM(D17,D20:D22)</f>
        <v>9325.3619999999992</v>
      </c>
      <c r="E23" s="25">
        <f t="shared" ref="E23:F23" si="0">SUM(E17,E20:E22)</f>
        <v>14404.544000000002</v>
      </c>
      <c r="F23" s="25">
        <f t="shared" si="0"/>
        <v>17563.053000000004</v>
      </c>
    </row>
    <row r="25" spans="2:6" x14ac:dyDescent="0.15">
      <c r="B25" s="80" t="s">
        <v>27</v>
      </c>
      <c r="D25" s="14"/>
      <c r="E25" s="14"/>
      <c r="F25" s="14"/>
    </row>
    <row r="26" spans="2:6" x14ac:dyDescent="0.15">
      <c r="B26" s="81" t="s">
        <v>120</v>
      </c>
      <c r="D26" s="14">
        <v>-577.09100000000001</v>
      </c>
      <c r="E26" s="14">
        <v>-616.38</v>
      </c>
      <c r="F26" s="14">
        <v>-625.14</v>
      </c>
    </row>
    <row r="27" spans="2:6" x14ac:dyDescent="0.15">
      <c r="B27" s="81" t="s">
        <v>121</v>
      </c>
      <c r="D27" s="14">
        <v>-692.08</v>
      </c>
      <c r="E27" s="14">
        <v>-780.38</v>
      </c>
      <c r="F27" s="14">
        <v>-801.58</v>
      </c>
    </row>
    <row r="28" spans="2:6" x14ac:dyDescent="0.15">
      <c r="B28" s="24" t="s">
        <v>36</v>
      </c>
      <c r="C28" s="24"/>
      <c r="D28" s="25">
        <f>SUM(D23,D26:D27)</f>
        <v>8056.1909999999989</v>
      </c>
      <c r="E28" s="25">
        <f t="shared" ref="E28:F28" si="1">SUM(E23,E26:E27)</f>
        <v>13007.784000000003</v>
      </c>
      <c r="F28" s="25">
        <f t="shared" si="1"/>
        <v>16136.333000000004</v>
      </c>
    </row>
    <row r="29" spans="2:6" x14ac:dyDescent="0.15">
      <c r="D29" s="14"/>
      <c r="E29" s="14"/>
      <c r="F29" s="14"/>
    </row>
    <row r="30" spans="2:6" x14ac:dyDescent="0.15">
      <c r="B30" s="9" t="s">
        <v>122</v>
      </c>
      <c r="D30" s="14">
        <v>1057.33</v>
      </c>
      <c r="E30" s="14">
        <v>1603.57</v>
      </c>
      <c r="F30" s="14">
        <v>2102.4499999999998</v>
      </c>
    </row>
    <row r="31" spans="2:6" x14ac:dyDescent="0.15">
      <c r="B31" s="9" t="s">
        <v>123</v>
      </c>
      <c r="D31" s="14">
        <v>-981.39</v>
      </c>
      <c r="E31" s="14">
        <v>-1039.47</v>
      </c>
      <c r="F31" s="14">
        <v>-940.91</v>
      </c>
    </row>
    <row r="32" spans="2:6" x14ac:dyDescent="0.15">
      <c r="B32" s="24" t="s">
        <v>124</v>
      </c>
      <c r="C32" s="24"/>
      <c r="D32" s="25">
        <f>SUM(D28,D30:D31)</f>
        <v>8132.1309999999985</v>
      </c>
      <c r="E32" s="25">
        <f t="shared" ref="E32:F32" si="2">SUM(E28,E30:E31)</f>
        <v>13571.884000000004</v>
      </c>
      <c r="F32" s="25">
        <f t="shared" si="2"/>
        <v>17297.873000000003</v>
      </c>
    </row>
    <row r="34" spans="2:8" x14ac:dyDescent="0.15">
      <c r="B34" s="80" t="s">
        <v>28</v>
      </c>
    </row>
    <row r="35" spans="2:8" x14ac:dyDescent="0.15">
      <c r="B35" s="81" t="s">
        <v>125</v>
      </c>
      <c r="D35" s="14">
        <v>696.68499999999995</v>
      </c>
      <c r="E35" s="14">
        <v>2508.201</v>
      </c>
      <c r="F35" s="14">
        <f>1596.32</f>
        <v>1596.32</v>
      </c>
    </row>
    <row r="36" spans="2:8" x14ac:dyDescent="0.15">
      <c r="B36" s="81" t="s">
        <v>126</v>
      </c>
      <c r="D36" s="14">
        <v>214.28899999999999</v>
      </c>
      <c r="E36" s="14">
        <v>236.97499999999999</v>
      </c>
      <c r="F36" s="14">
        <v>5.5970000000000004</v>
      </c>
    </row>
    <row r="37" spans="2:8" x14ac:dyDescent="0.15">
      <c r="B37" s="81" t="s">
        <v>127</v>
      </c>
      <c r="D37" s="14">
        <v>-566.101</v>
      </c>
      <c r="E37" s="14">
        <v>-1255.499</v>
      </c>
      <c r="F37" s="14">
        <v>0</v>
      </c>
    </row>
    <row r="38" spans="2:8" x14ac:dyDescent="0.15">
      <c r="B38" s="24" t="s">
        <v>128</v>
      </c>
      <c r="C38" s="24"/>
      <c r="D38" s="25">
        <f>D32+SUM(D35:D37)</f>
        <v>8477.003999999999</v>
      </c>
      <c r="E38" s="25">
        <f t="shared" ref="E38:F38" si="3">E32+SUM(E35:E37)</f>
        <v>15061.561000000003</v>
      </c>
      <c r="F38" s="25">
        <f t="shared" si="3"/>
        <v>18899.790000000005</v>
      </c>
    </row>
    <row r="39" spans="2:8" x14ac:dyDescent="0.15">
      <c r="D39" s="14"/>
      <c r="E39" s="14"/>
      <c r="F39" s="14"/>
    </row>
    <row r="40" spans="2:8" x14ac:dyDescent="0.15">
      <c r="B40" s="9" t="s">
        <v>129</v>
      </c>
      <c r="D40" s="14">
        <v>-338.161</v>
      </c>
      <c r="E40" s="14">
        <v>-232.41399999999999</v>
      </c>
      <c r="F40" s="14">
        <v>-1450.7070000000001</v>
      </c>
      <c r="H40" s="85"/>
    </row>
    <row r="41" spans="2:8" ht="13" thickBot="1" x14ac:dyDescent="0.2">
      <c r="B41" s="88" t="s">
        <v>97</v>
      </c>
      <c r="C41" s="88"/>
      <c r="D41" s="90">
        <f>SUM(D38,D40)</f>
        <v>8138.8429999999989</v>
      </c>
      <c r="E41" s="90">
        <f t="shared" ref="E41:F41" si="4">SUM(E38,E40)</f>
        <v>14829.147000000003</v>
      </c>
      <c r="F41" s="90">
        <f t="shared" si="4"/>
        <v>17449.083000000006</v>
      </c>
    </row>
    <row r="43" spans="2:8" x14ac:dyDescent="0.15">
      <c r="B43" s="9" t="s">
        <v>174</v>
      </c>
    </row>
    <row r="44" spans="2:8" x14ac:dyDescent="0.15">
      <c r="B44" s="81" t="s">
        <v>175</v>
      </c>
      <c r="D44" s="14">
        <v>6832.049</v>
      </c>
      <c r="E44" s="14">
        <v>11629.237999999999</v>
      </c>
      <c r="F44" s="14">
        <v>13513.938</v>
      </c>
    </row>
    <row r="45" spans="2:8" x14ac:dyDescent="0.15">
      <c r="B45" s="81" t="s">
        <v>140</v>
      </c>
      <c r="D45" s="14">
        <v>1306.798</v>
      </c>
      <c r="E45" s="14">
        <v>3199.9119999999998</v>
      </c>
      <c r="F45" s="14">
        <v>3935.1350000000002</v>
      </c>
    </row>
    <row r="46" spans="2:8" ht="13" thickBot="1" x14ac:dyDescent="0.2">
      <c r="B46" s="88" t="s">
        <v>97</v>
      </c>
      <c r="C46" s="88"/>
      <c r="D46" s="90">
        <f>SUM(D44:D45)</f>
        <v>8138.8469999999998</v>
      </c>
      <c r="E46" s="90">
        <f t="shared" ref="E46:F46" si="5">SUM(E44:E45)</f>
        <v>14829.15</v>
      </c>
      <c r="F46" s="90">
        <f t="shared" si="5"/>
        <v>17449.073</v>
      </c>
    </row>
    <row r="48" spans="2:8" x14ac:dyDescent="0.15">
      <c r="B48" s="9" t="s">
        <v>176</v>
      </c>
      <c r="D48" s="75">
        <v>0.83</v>
      </c>
      <c r="E48" s="75">
        <v>1.32</v>
      </c>
      <c r="F48" s="75">
        <v>1.53</v>
      </c>
    </row>
    <row r="50" spans="2:2" x14ac:dyDescent="0.15">
      <c r="B50" s="79"/>
    </row>
    <row r="51" spans="2:2" x14ac:dyDescent="0.15">
      <c r="B51" s="79"/>
    </row>
    <row r="52" spans="2:2" x14ac:dyDescent="0.15">
      <c r="B52" s="79"/>
    </row>
    <row r="53" spans="2:2" x14ac:dyDescent="0.15">
      <c r="B53" s="79"/>
    </row>
    <row r="54" spans="2:2" x14ac:dyDescent="0.15">
      <c r="B54" s="7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A137-D539-A74E-AEEA-9723308302DE}">
  <dimension ref="B1:L49"/>
  <sheetViews>
    <sheetView zoomScale="116" zoomScaleNormal="130" workbookViewId="0">
      <selection activeCell="H37" sqref="H37"/>
    </sheetView>
  </sheetViews>
  <sheetFormatPr baseColWidth="10" defaultColWidth="9.1640625" defaultRowHeight="12" x14ac:dyDescent="0.15"/>
  <cols>
    <col min="1" max="1" width="2" style="9" customWidth="1"/>
    <col min="2" max="2" width="24.1640625" style="9" bestFit="1" customWidth="1"/>
    <col min="3" max="3" width="9.1640625" style="9"/>
    <col min="4" max="4" width="10.83203125" style="9" customWidth="1"/>
    <col min="5" max="5" width="10.6640625" style="9" customWidth="1"/>
    <col min="6" max="6" width="10" style="9" bestFit="1" customWidth="1"/>
    <col min="7" max="7" width="9.1640625" style="9"/>
    <col min="8" max="8" width="36.33203125" style="9" bestFit="1" customWidth="1"/>
    <col min="9" max="9" width="9.1640625" style="9"/>
    <col min="10" max="10" width="10" style="9" bestFit="1" customWidth="1"/>
    <col min="11" max="11" width="10.5" style="9" customWidth="1"/>
    <col min="12" max="12" width="11.1640625" style="9" customWidth="1"/>
    <col min="13" max="13" width="9.1640625" style="9"/>
    <col min="14" max="14" width="8" style="9" bestFit="1" customWidth="1"/>
    <col min="15" max="15" width="29.6640625" style="9" bestFit="1" customWidth="1"/>
    <col min="16" max="16" width="20.33203125" style="9" bestFit="1" customWidth="1"/>
    <col min="17" max="16384" width="9.1640625" style="9"/>
  </cols>
  <sheetData>
    <row r="1" spans="2:12" ht="16" x14ac:dyDescent="0.2">
      <c r="B1" s="8" t="s">
        <v>14</v>
      </c>
    </row>
    <row r="2" spans="2:12" x14ac:dyDescent="0.15">
      <c r="B2" s="9" t="s">
        <v>104</v>
      </c>
      <c r="C2" s="9" t="s">
        <v>130</v>
      </c>
    </row>
    <row r="3" spans="2:12" ht="26" x14ac:dyDescent="0.15">
      <c r="B3" s="86" t="s">
        <v>105</v>
      </c>
      <c r="C3" s="86"/>
      <c r="D3" s="87" t="s">
        <v>131</v>
      </c>
      <c r="E3" s="87" t="s">
        <v>132</v>
      </c>
      <c r="F3" s="87" t="s">
        <v>133</v>
      </c>
      <c r="H3" s="86" t="s">
        <v>134</v>
      </c>
      <c r="I3" s="86"/>
      <c r="J3" s="87" t="s">
        <v>131</v>
      </c>
      <c r="K3" s="87" t="s">
        <v>132</v>
      </c>
      <c r="L3" s="87" t="s">
        <v>133</v>
      </c>
    </row>
    <row r="4" spans="2:12" x14ac:dyDescent="0.15">
      <c r="B4" s="9" t="s">
        <v>180</v>
      </c>
      <c r="D4" s="14">
        <v>18289.16</v>
      </c>
      <c r="E4" s="14">
        <v>33854.910000000003</v>
      </c>
      <c r="F4" s="14">
        <v>50056.180999999997</v>
      </c>
      <c r="G4" s="14"/>
      <c r="H4" s="14" t="s">
        <v>98</v>
      </c>
      <c r="I4" s="14"/>
      <c r="J4" s="14">
        <v>8838.7900000000009</v>
      </c>
      <c r="K4" s="14">
        <v>8838.7900000000009</v>
      </c>
      <c r="L4" s="14">
        <v>8838.7900000000009</v>
      </c>
    </row>
    <row r="5" spans="2:12" x14ac:dyDescent="0.15">
      <c r="B5" s="9" t="s">
        <v>135</v>
      </c>
      <c r="D5" s="14">
        <v>22218.35</v>
      </c>
      <c r="E5" s="14">
        <v>17255.07</v>
      </c>
      <c r="F5" s="14">
        <v>15484.276</v>
      </c>
      <c r="G5" s="14"/>
      <c r="H5" s="14" t="s">
        <v>136</v>
      </c>
      <c r="I5" s="14"/>
      <c r="J5" s="14">
        <v>-1.6839999999999999</v>
      </c>
      <c r="K5" s="14">
        <v>-1.6839999999999999</v>
      </c>
      <c r="L5" s="14">
        <v>-1.6839999999999999</v>
      </c>
    </row>
    <row r="6" spans="2:12" x14ac:dyDescent="0.15">
      <c r="B6" s="9" t="s">
        <v>32</v>
      </c>
      <c r="D6" s="9">
        <v>5766.4930000000004</v>
      </c>
      <c r="E6" s="9">
        <v>6765.0829999999996</v>
      </c>
      <c r="F6" s="9">
        <v>10051.527</v>
      </c>
      <c r="G6" s="14"/>
      <c r="H6" s="14" t="s">
        <v>99</v>
      </c>
      <c r="I6" s="14"/>
      <c r="J6" s="14">
        <v>21999.63</v>
      </c>
      <c r="K6" s="14">
        <v>22532.21</v>
      </c>
      <c r="L6" s="14">
        <v>23926.35</v>
      </c>
    </row>
    <row r="7" spans="2:12" x14ac:dyDescent="0.15">
      <c r="B7" s="9" t="s">
        <v>137</v>
      </c>
      <c r="D7" s="14">
        <v>42240.59</v>
      </c>
      <c r="E7" s="14">
        <v>40997.599999999999</v>
      </c>
      <c r="F7" s="14">
        <v>45096.264000000003</v>
      </c>
      <c r="G7" s="14"/>
      <c r="H7" s="14" t="s">
        <v>100</v>
      </c>
      <c r="I7" s="14"/>
      <c r="J7" s="14">
        <v>38161.74</v>
      </c>
      <c r="K7" s="14">
        <v>46354.82</v>
      </c>
      <c r="L7" s="14">
        <v>52664.77</v>
      </c>
    </row>
    <row r="8" spans="2:12" x14ac:dyDescent="0.15">
      <c r="B8" s="9" t="s">
        <v>138</v>
      </c>
      <c r="D8" s="14">
        <v>1029.556</v>
      </c>
      <c r="E8" s="14">
        <v>0</v>
      </c>
      <c r="F8" s="14">
        <v>0</v>
      </c>
      <c r="G8" s="14"/>
      <c r="H8" s="76" t="s">
        <v>139</v>
      </c>
      <c r="I8" s="82"/>
      <c r="J8" s="82">
        <f>SUM(J4:J7)</f>
        <v>68998.475999999995</v>
      </c>
      <c r="K8" s="82">
        <f>SUM(K4:K7)</f>
        <v>77724.135999999999</v>
      </c>
      <c r="L8" s="82">
        <f>SUM(L4:L7)</f>
        <v>85428.225999999995</v>
      </c>
    </row>
    <row r="9" spans="2:12" ht="13" thickBot="1" x14ac:dyDescent="0.2">
      <c r="B9" s="88" t="s">
        <v>141</v>
      </c>
      <c r="C9" s="89"/>
      <c r="D9" s="90">
        <f>SUM(D4:D8)</f>
        <v>89544.14899999999</v>
      </c>
      <c r="E9" s="90">
        <f>SUM(E4:E7)</f>
        <v>98872.663</v>
      </c>
      <c r="F9" s="90">
        <f>SUM(F4:F7)</f>
        <v>120688.24799999999</v>
      </c>
      <c r="G9" s="14"/>
      <c r="H9" s="83" t="s">
        <v>140</v>
      </c>
      <c r="I9" s="84"/>
      <c r="J9" s="84">
        <v>6427.6</v>
      </c>
      <c r="K9" s="84">
        <v>9106.8700000000008</v>
      </c>
      <c r="L9" s="84">
        <v>10641.81</v>
      </c>
    </row>
    <row r="10" spans="2:12" ht="13" thickBot="1" x14ac:dyDescent="0.2">
      <c r="G10" s="14"/>
      <c r="H10" s="90" t="s">
        <v>101</v>
      </c>
      <c r="I10" s="92"/>
      <c r="J10" s="90">
        <f>J8+J9</f>
        <v>75426.076000000001</v>
      </c>
      <c r="K10" s="90">
        <f>K8+K9</f>
        <v>86831.005999999994</v>
      </c>
      <c r="L10" s="90">
        <f>L8+L9</f>
        <v>96070.035999999993</v>
      </c>
    </row>
    <row r="11" spans="2:12" x14ac:dyDescent="0.15">
      <c r="B11" s="9" t="s">
        <v>142</v>
      </c>
      <c r="D11" s="14">
        <v>2236.84</v>
      </c>
      <c r="E11" s="14">
        <v>2010.6320000000001</v>
      </c>
      <c r="F11" s="14">
        <v>1508.066</v>
      </c>
      <c r="G11" s="14"/>
      <c r="H11" s="14"/>
      <c r="I11" s="14"/>
      <c r="J11" s="14"/>
      <c r="K11" s="14"/>
      <c r="L11" s="14"/>
    </row>
    <row r="12" spans="2:12" x14ac:dyDescent="0.15">
      <c r="B12" s="9" t="s">
        <v>144</v>
      </c>
      <c r="D12" s="14">
        <v>1043.2619999999999</v>
      </c>
      <c r="E12" s="14">
        <v>834.28099999999995</v>
      </c>
      <c r="F12" s="14">
        <v>1006.179</v>
      </c>
      <c r="G12" s="14"/>
      <c r="H12" s="14" t="s">
        <v>143</v>
      </c>
      <c r="I12" s="14"/>
      <c r="J12" s="14">
        <v>19659.763999999999</v>
      </c>
      <c r="K12" s="14">
        <v>14737.47</v>
      </c>
      <c r="L12" s="14">
        <v>17570.830000000002</v>
      </c>
    </row>
    <row r="13" spans="2:12" x14ac:dyDescent="0.15">
      <c r="B13" s="9" t="s">
        <v>146</v>
      </c>
      <c r="D13" s="14">
        <v>5800.9260000000004</v>
      </c>
      <c r="E13" s="14">
        <v>5629.5659999999998</v>
      </c>
      <c r="F13" s="14">
        <v>5430.8540000000003</v>
      </c>
      <c r="G13" s="14"/>
      <c r="H13" s="14" t="s">
        <v>145</v>
      </c>
      <c r="I13" s="14"/>
      <c r="J13" s="14">
        <v>19563.73</v>
      </c>
      <c r="K13" s="14">
        <v>22857.576000000001</v>
      </c>
      <c r="L13" s="14">
        <v>32495.29</v>
      </c>
    </row>
    <row r="14" spans="2:12" x14ac:dyDescent="0.15">
      <c r="B14" s="9" t="s">
        <v>149</v>
      </c>
      <c r="D14" s="14">
        <v>9883.8790000000008</v>
      </c>
      <c r="E14" s="14">
        <v>9490.9320000000007</v>
      </c>
      <c r="F14" s="14">
        <v>8986.8940000000002</v>
      </c>
      <c r="G14" s="14"/>
      <c r="H14" s="14" t="s">
        <v>147</v>
      </c>
      <c r="I14" s="14"/>
      <c r="J14" s="14">
        <v>496.26</v>
      </c>
      <c r="K14" s="14">
        <v>0</v>
      </c>
      <c r="L14" s="14">
        <v>0</v>
      </c>
    </row>
    <row r="15" spans="2:12" x14ac:dyDescent="0.15">
      <c r="B15" s="9" t="s">
        <v>151</v>
      </c>
      <c r="D15" s="14">
        <v>22688.258999999998</v>
      </c>
      <c r="E15" s="14">
        <v>21493.514999999999</v>
      </c>
      <c r="F15" s="14">
        <v>21340.217000000001</v>
      </c>
      <c r="G15" s="14"/>
      <c r="H15" s="14" t="s">
        <v>148</v>
      </c>
      <c r="I15" s="14"/>
      <c r="J15" s="14">
        <v>0</v>
      </c>
      <c r="K15" s="14">
        <v>238.268</v>
      </c>
      <c r="L15" s="14">
        <v>1237.8399999999999</v>
      </c>
    </row>
    <row r="16" spans="2:12" x14ac:dyDescent="0.15">
      <c r="B16" s="9" t="s">
        <v>41</v>
      </c>
      <c r="D16" s="14">
        <v>211.94200000000001</v>
      </c>
      <c r="E16" s="14">
        <v>219.72300000000001</v>
      </c>
      <c r="F16" s="14">
        <v>574.34500000000003</v>
      </c>
      <c r="G16" s="14"/>
      <c r="H16" s="14" t="s">
        <v>150</v>
      </c>
      <c r="I16" s="14"/>
      <c r="J16" s="14">
        <v>1620.54</v>
      </c>
      <c r="K16" s="14">
        <v>1531.6010000000001</v>
      </c>
      <c r="L16" s="14">
        <v>1834.7</v>
      </c>
    </row>
    <row r="17" spans="2:12" ht="13" thickBot="1" x14ac:dyDescent="0.2">
      <c r="B17" s="9" t="s">
        <v>153</v>
      </c>
      <c r="D17" s="14">
        <v>954.851</v>
      </c>
      <c r="E17" s="14">
        <v>845.92100000000005</v>
      </c>
      <c r="F17" s="14">
        <v>687.55399999999997</v>
      </c>
      <c r="G17" s="14"/>
      <c r="H17" s="90" t="s">
        <v>152</v>
      </c>
      <c r="I17" s="92"/>
      <c r="J17" s="90">
        <f>SUM(J12:J16)</f>
        <v>41340.294000000002</v>
      </c>
      <c r="K17" s="90">
        <f t="shared" ref="K17:L17" si="0">SUM(K12:K16)</f>
        <v>39364.915000000001</v>
      </c>
      <c r="L17" s="90">
        <f t="shared" si="0"/>
        <v>53138.659999999996</v>
      </c>
    </row>
    <row r="18" spans="2:12" ht="13" thickBot="1" x14ac:dyDescent="0.2">
      <c r="B18" s="88" t="s">
        <v>155</v>
      </c>
      <c r="C18" s="89"/>
      <c r="D18" s="90">
        <f>SUM(D11:D17)</f>
        <v>42819.959000000003</v>
      </c>
      <c r="E18" s="90">
        <f>SUM(E11:E17)</f>
        <v>40524.57</v>
      </c>
      <c r="F18" s="90">
        <f>SUM(F11:F17)</f>
        <v>39534.109000000004</v>
      </c>
      <c r="G18" s="14"/>
    </row>
    <row r="19" spans="2:12" x14ac:dyDescent="0.15">
      <c r="G19" s="14"/>
      <c r="H19" s="14" t="s">
        <v>154</v>
      </c>
      <c r="I19" s="14"/>
      <c r="J19" s="14">
        <v>922.8</v>
      </c>
      <c r="K19" s="14">
        <v>754.31500000000005</v>
      </c>
      <c r="L19" s="14">
        <v>1145.7539999999999</v>
      </c>
    </row>
    <row r="20" spans="2:12" x14ac:dyDescent="0.15">
      <c r="G20" s="14"/>
      <c r="H20" s="14" t="s">
        <v>156</v>
      </c>
      <c r="I20" s="14"/>
      <c r="J20" s="14">
        <v>5331.23</v>
      </c>
      <c r="K20" s="14">
        <v>3098.6779999999999</v>
      </c>
      <c r="L20" s="14">
        <v>3265.39</v>
      </c>
    </row>
    <row r="21" spans="2:12" x14ac:dyDescent="0.15">
      <c r="G21" s="14"/>
      <c r="H21" s="14" t="s">
        <v>158</v>
      </c>
      <c r="I21" s="14"/>
      <c r="J21" s="14">
        <v>9166.68</v>
      </c>
      <c r="K21" s="14">
        <v>9171.8819999999996</v>
      </c>
      <c r="L21" s="14">
        <v>6421.0940000000001</v>
      </c>
    </row>
    <row r="22" spans="2:12" x14ac:dyDescent="0.15">
      <c r="G22" s="14"/>
      <c r="H22" s="14" t="s">
        <v>160</v>
      </c>
      <c r="I22" s="14"/>
      <c r="J22" s="14">
        <v>177.04</v>
      </c>
      <c r="K22" s="14">
        <v>176.42</v>
      </c>
      <c r="L22" s="14">
        <v>181.44</v>
      </c>
    </row>
    <row r="23" spans="2:12" ht="13" thickBot="1" x14ac:dyDescent="0.2">
      <c r="G23" s="14"/>
      <c r="H23" s="90" t="s">
        <v>163</v>
      </c>
      <c r="I23" s="92"/>
      <c r="J23" s="90">
        <f>SUM(J19:J22)</f>
        <v>15597.75</v>
      </c>
      <c r="K23" s="90">
        <f>SUM(K19:K22)</f>
        <v>13201.295</v>
      </c>
      <c r="L23" s="90">
        <f>SUM(L19:L22)</f>
        <v>11013.678000000002</v>
      </c>
    </row>
    <row r="24" spans="2:12" ht="13" thickBot="1" x14ac:dyDescent="0.2">
      <c r="G24" s="14"/>
      <c r="H24" s="90" t="s">
        <v>102</v>
      </c>
      <c r="I24" s="92"/>
      <c r="J24" s="90">
        <f>J17+J23</f>
        <v>56938.044000000002</v>
      </c>
      <c r="K24" s="90">
        <f>K17+K23</f>
        <v>52566.21</v>
      </c>
      <c r="L24" s="90">
        <f>L17+L23</f>
        <v>64152.337999999996</v>
      </c>
    </row>
    <row r="25" spans="2:12" x14ac:dyDescent="0.15">
      <c r="G25" s="14"/>
      <c r="H25" s="14"/>
      <c r="I25" s="14"/>
      <c r="J25" s="14"/>
      <c r="K25" s="14"/>
      <c r="L25" s="14"/>
    </row>
    <row r="26" spans="2:12" ht="13" thickBot="1" x14ac:dyDescent="0.2">
      <c r="B26" s="88" t="s">
        <v>42</v>
      </c>
      <c r="C26" s="89"/>
      <c r="D26" s="90">
        <f>D18+D9</f>
        <v>132364.10800000001</v>
      </c>
      <c r="E26" s="90">
        <f>E18+E9</f>
        <v>139397.23300000001</v>
      </c>
      <c r="F26" s="90">
        <f>F18+F9</f>
        <v>160222.35699999999</v>
      </c>
      <c r="G26" s="14"/>
      <c r="H26" s="90" t="s">
        <v>103</v>
      </c>
      <c r="I26" s="92"/>
      <c r="J26" s="90">
        <f>J24+J10</f>
        <v>132364.12</v>
      </c>
      <c r="K26" s="90">
        <f>K24+K10</f>
        <v>139397.21599999999</v>
      </c>
      <c r="L26" s="90">
        <f>L24+L10</f>
        <v>160222.37399999998</v>
      </c>
    </row>
    <row r="27" spans="2:12" x14ac:dyDescent="0.15">
      <c r="G27" s="14"/>
    </row>
    <row r="28" spans="2:12" x14ac:dyDescent="0.15">
      <c r="I28" s="9" t="s">
        <v>44</v>
      </c>
      <c r="J28" s="9">
        <f>J26-D26</f>
        <v>1.1999999987892807E-2</v>
      </c>
      <c r="K28" s="9">
        <f>K26-E26</f>
        <v>-1.700000002165325E-2</v>
      </c>
      <c r="L28" s="9">
        <f>L26-F26</f>
        <v>1.6999999992549419E-2</v>
      </c>
    </row>
    <row r="29" spans="2:12" x14ac:dyDescent="0.15">
      <c r="B29" s="79" t="s">
        <v>166</v>
      </c>
    </row>
    <row r="30" spans="2:12" x14ac:dyDescent="0.15">
      <c r="B30" s="80" t="s">
        <v>167</v>
      </c>
    </row>
    <row r="31" spans="2:12" x14ac:dyDescent="0.15">
      <c r="B31" s="80" t="s">
        <v>168</v>
      </c>
    </row>
    <row r="32" spans="2:12" x14ac:dyDescent="0.15">
      <c r="B32" s="80" t="s">
        <v>169</v>
      </c>
    </row>
    <row r="33" spans="2:8" x14ac:dyDescent="0.15">
      <c r="B33" s="80" t="s">
        <v>170</v>
      </c>
    </row>
    <row r="35" spans="2:8" x14ac:dyDescent="0.15">
      <c r="B35" s="79" t="s">
        <v>157</v>
      </c>
      <c r="D35" s="78"/>
      <c r="E35" s="78"/>
      <c r="F35" s="78"/>
    </row>
    <row r="36" spans="2:8" x14ac:dyDescent="0.15">
      <c r="B36" s="80" t="s">
        <v>159</v>
      </c>
      <c r="D36" s="78"/>
      <c r="E36" s="78"/>
      <c r="F36" s="78"/>
    </row>
    <row r="37" spans="2:8" x14ac:dyDescent="0.15">
      <c r="B37" s="80" t="s">
        <v>161</v>
      </c>
      <c r="D37" s="14"/>
      <c r="E37" s="14"/>
      <c r="F37" s="14"/>
    </row>
    <row r="38" spans="2:8" x14ac:dyDescent="0.15">
      <c r="B38" s="80" t="s">
        <v>162</v>
      </c>
      <c r="D38" s="14"/>
      <c r="E38" s="14"/>
      <c r="F38" s="14"/>
    </row>
    <row r="39" spans="2:8" x14ac:dyDescent="0.15">
      <c r="B39" s="80" t="s">
        <v>164</v>
      </c>
      <c r="D39" s="14"/>
      <c r="E39" s="14"/>
      <c r="F39" s="14"/>
    </row>
    <row r="40" spans="2:8" x14ac:dyDescent="0.15">
      <c r="B40" s="80" t="s">
        <v>165</v>
      </c>
      <c r="D40" s="14"/>
      <c r="E40" s="14"/>
      <c r="F40" s="14"/>
    </row>
    <row r="41" spans="2:8" x14ac:dyDescent="0.15">
      <c r="C41" s="158" t="s">
        <v>279</v>
      </c>
      <c r="D41" s="158"/>
      <c r="E41" s="158"/>
      <c r="F41" s="158"/>
      <c r="G41" s="158"/>
      <c r="H41" s="158"/>
    </row>
    <row r="42" spans="2:8" x14ac:dyDescent="0.15">
      <c r="C42" s="115" t="s">
        <v>273</v>
      </c>
      <c r="D42" s="148" t="s">
        <v>271</v>
      </c>
      <c r="E42" s="149"/>
      <c r="F42" s="150"/>
      <c r="G42" s="148" t="s">
        <v>272</v>
      </c>
      <c r="H42" s="150"/>
    </row>
    <row r="43" spans="2:8" x14ac:dyDescent="0.15">
      <c r="C43" s="124">
        <v>1</v>
      </c>
      <c r="D43" s="145" t="s">
        <v>180</v>
      </c>
      <c r="E43" s="151"/>
      <c r="F43" s="146"/>
      <c r="G43" s="145" t="s">
        <v>101</v>
      </c>
      <c r="H43" s="146"/>
    </row>
    <row r="44" spans="2:8" x14ac:dyDescent="0.15">
      <c r="C44" s="124">
        <v>2</v>
      </c>
      <c r="D44" s="145" t="s">
        <v>135</v>
      </c>
      <c r="E44" s="151"/>
      <c r="F44" s="146"/>
      <c r="G44" s="159" t="s">
        <v>143</v>
      </c>
      <c r="H44" s="160"/>
    </row>
    <row r="45" spans="2:8" x14ac:dyDescent="0.15">
      <c r="C45" s="124">
        <v>3</v>
      </c>
      <c r="D45" s="145" t="s">
        <v>274</v>
      </c>
      <c r="E45" s="151"/>
      <c r="F45" s="146"/>
      <c r="G45" s="159" t="s">
        <v>145</v>
      </c>
      <c r="H45" s="160"/>
    </row>
    <row r="46" spans="2:8" x14ac:dyDescent="0.15">
      <c r="C46" s="124">
        <v>4</v>
      </c>
      <c r="D46" s="145" t="s">
        <v>137</v>
      </c>
      <c r="E46" s="151"/>
      <c r="F46" s="146"/>
      <c r="G46" s="145" t="s">
        <v>277</v>
      </c>
      <c r="H46" s="146"/>
    </row>
    <row r="47" spans="2:8" ht="56" customHeight="1" x14ac:dyDescent="0.15">
      <c r="C47" s="125">
        <v>5</v>
      </c>
      <c r="D47" s="152" t="s">
        <v>276</v>
      </c>
      <c r="E47" s="153"/>
      <c r="F47" s="154"/>
      <c r="G47" s="152" t="s">
        <v>280</v>
      </c>
      <c r="H47" s="154"/>
    </row>
    <row r="48" spans="2:8" ht="27" customHeight="1" x14ac:dyDescent="0.15">
      <c r="C48" s="124">
        <v>6</v>
      </c>
      <c r="D48" s="155" t="s">
        <v>275</v>
      </c>
      <c r="E48" s="156"/>
      <c r="F48" s="157"/>
      <c r="G48" s="145" t="s">
        <v>148</v>
      </c>
      <c r="H48" s="146"/>
    </row>
    <row r="49" spans="3:8" x14ac:dyDescent="0.15">
      <c r="C49" s="123">
        <v>7</v>
      </c>
      <c r="D49" s="147" t="s">
        <v>278</v>
      </c>
      <c r="E49" s="147"/>
      <c r="F49" s="147"/>
      <c r="G49" s="145" t="s">
        <v>150</v>
      </c>
      <c r="H49" s="146"/>
    </row>
  </sheetData>
  <mergeCells count="17">
    <mergeCell ref="C41:H41"/>
    <mergeCell ref="G43:H43"/>
    <mergeCell ref="G44:H44"/>
    <mergeCell ref="G45:H45"/>
    <mergeCell ref="G46:H46"/>
    <mergeCell ref="G49:H49"/>
    <mergeCell ref="D49:F49"/>
    <mergeCell ref="D42:F42"/>
    <mergeCell ref="G42:H42"/>
    <mergeCell ref="D43:F43"/>
    <mergeCell ref="D47:F47"/>
    <mergeCell ref="D44:F44"/>
    <mergeCell ref="D45:F45"/>
    <mergeCell ref="D46:F46"/>
    <mergeCell ref="D48:F48"/>
    <mergeCell ref="G48:H48"/>
    <mergeCell ref="G47:H4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22CDD-7966-D84B-B40F-416778D18B13}">
  <dimension ref="B1:M63"/>
  <sheetViews>
    <sheetView topLeftCell="A43" zoomScale="142" zoomScaleNormal="130" workbookViewId="0">
      <selection activeCell="D62" sqref="D62"/>
    </sheetView>
  </sheetViews>
  <sheetFormatPr baseColWidth="10" defaultColWidth="9.1640625" defaultRowHeight="12" x14ac:dyDescent="0.15"/>
  <cols>
    <col min="1" max="1" width="2" style="9" customWidth="1"/>
    <col min="2" max="2" width="46.1640625" style="9" customWidth="1"/>
    <col min="3" max="3" width="9.1640625" style="9"/>
    <col min="4" max="6" width="10.5" style="9" bestFit="1" customWidth="1"/>
    <col min="7" max="7" width="9.1640625" style="9"/>
    <col min="8" max="8" width="9.83203125" style="9" bestFit="1" customWidth="1"/>
    <col min="9" max="16384" width="9.1640625" style="9"/>
  </cols>
  <sheetData>
    <row r="1" spans="2:13" ht="16" x14ac:dyDescent="0.2">
      <c r="B1" s="8" t="s">
        <v>230</v>
      </c>
    </row>
    <row r="2" spans="2:13" x14ac:dyDescent="0.15">
      <c r="B2" s="9" t="s">
        <v>104</v>
      </c>
    </row>
    <row r="3" spans="2:13" ht="26" x14ac:dyDescent="0.15">
      <c r="B3" s="86" t="s">
        <v>105</v>
      </c>
      <c r="C3" s="86"/>
      <c r="D3" s="87" t="s">
        <v>106</v>
      </c>
      <c r="E3" s="87" t="s">
        <v>107</v>
      </c>
      <c r="F3" s="87" t="s">
        <v>108</v>
      </c>
    </row>
    <row r="4" spans="2:13" x14ac:dyDescent="0.15">
      <c r="B4" s="9" t="s">
        <v>181</v>
      </c>
      <c r="D4" s="75">
        <v>8477.0079999999998</v>
      </c>
      <c r="E4" s="75">
        <v>15061.564</v>
      </c>
      <c r="F4" s="75">
        <v>18899.78</v>
      </c>
    </row>
    <row r="5" spans="2:13" x14ac:dyDescent="0.15">
      <c r="D5" s="75"/>
      <c r="E5" s="75"/>
      <c r="F5" s="75"/>
      <c r="J5" s="75"/>
      <c r="K5" s="75"/>
      <c r="L5" s="75"/>
      <c r="M5" s="75"/>
    </row>
    <row r="6" spans="2:13" x14ac:dyDescent="0.15">
      <c r="B6" s="26" t="s">
        <v>182</v>
      </c>
      <c r="D6" s="75"/>
      <c r="E6" s="75"/>
      <c r="F6" s="75"/>
    </row>
    <row r="7" spans="2:13" x14ac:dyDescent="0.15">
      <c r="B7" s="81" t="s">
        <v>126</v>
      </c>
      <c r="C7" s="77"/>
      <c r="D7" s="75">
        <v>-214.28899999999999</v>
      </c>
      <c r="E7" s="75">
        <v>-236.97499999999999</v>
      </c>
      <c r="F7" s="75">
        <v>-5.5970000000000004</v>
      </c>
    </row>
    <row r="8" spans="2:13" x14ac:dyDescent="0.15">
      <c r="B8" s="81" t="s">
        <v>183</v>
      </c>
      <c r="D8" s="75">
        <v>1393.2539999999999</v>
      </c>
      <c r="E8" s="75">
        <v>1527.09</v>
      </c>
      <c r="F8" s="75">
        <v>1536.029</v>
      </c>
    </row>
    <row r="9" spans="2:13" x14ac:dyDescent="0.15">
      <c r="B9" s="81" t="s">
        <v>184</v>
      </c>
      <c r="D9" s="75">
        <v>7.2889999999999997</v>
      </c>
      <c r="E9" s="75">
        <v>3.61</v>
      </c>
      <c r="F9" s="75">
        <v>2.6389999999999998</v>
      </c>
    </row>
    <row r="10" spans="2:13" x14ac:dyDescent="0.15">
      <c r="B10" s="81" t="s">
        <v>185</v>
      </c>
      <c r="D10" s="75">
        <v>10.757999999999999</v>
      </c>
      <c r="E10" s="75">
        <v>-0.62</v>
      </c>
      <c r="F10" s="75">
        <v>5.0170000000000003</v>
      </c>
    </row>
    <row r="11" spans="2:13" x14ac:dyDescent="0.15">
      <c r="B11" s="81" t="s">
        <v>186</v>
      </c>
      <c r="D11" s="75">
        <v>0</v>
      </c>
      <c r="E11" s="75">
        <v>-699.88400000000001</v>
      </c>
      <c r="F11" s="75">
        <v>0</v>
      </c>
    </row>
    <row r="12" spans="2:13" x14ac:dyDescent="0.15">
      <c r="B12" s="81" t="s">
        <v>187</v>
      </c>
      <c r="D12" s="75">
        <v>1.466</v>
      </c>
      <c r="E12" s="75">
        <v>4.9909999999999997</v>
      </c>
      <c r="F12" s="75">
        <v>0</v>
      </c>
    </row>
    <row r="13" spans="2:13" x14ac:dyDescent="0.15">
      <c r="B13" s="81" t="s">
        <v>193</v>
      </c>
      <c r="D13" s="75">
        <v>-8.3249999999999993</v>
      </c>
      <c r="E13" s="75">
        <v>0</v>
      </c>
      <c r="F13" s="75">
        <v>0</v>
      </c>
      <c r="H13" s="85"/>
    </row>
    <row r="14" spans="2:13" x14ac:dyDescent="0.15">
      <c r="B14" s="81" t="s">
        <v>123</v>
      </c>
      <c r="D14" s="75">
        <v>981.38900000000001</v>
      </c>
      <c r="E14" s="75">
        <v>1039.4659999999999</v>
      </c>
      <c r="F14" s="75">
        <v>940.91399999999999</v>
      </c>
    </row>
    <row r="15" spans="2:13" x14ac:dyDescent="0.15">
      <c r="B15" s="81" t="s">
        <v>122</v>
      </c>
      <c r="C15" s="77"/>
      <c r="D15" s="75">
        <v>-1057.33</v>
      </c>
      <c r="E15" s="75">
        <v>-1603.57</v>
      </c>
      <c r="F15" s="75">
        <v>-2102.4459999999999</v>
      </c>
    </row>
    <row r="16" spans="2:13" x14ac:dyDescent="0.15">
      <c r="B16" s="81" t="s">
        <v>188</v>
      </c>
      <c r="C16" s="77"/>
      <c r="D16" s="75">
        <v>438.62599999999998</v>
      </c>
      <c r="E16" s="75">
        <v>61.805</v>
      </c>
      <c r="F16" s="75">
        <v>39.896999999999998</v>
      </c>
    </row>
    <row r="17" spans="2:6" x14ac:dyDescent="0.15">
      <c r="B17" s="81" t="s">
        <v>189</v>
      </c>
      <c r="C17" s="77"/>
      <c r="D17" s="75">
        <v>916.11699999999996</v>
      </c>
      <c r="E17" s="75">
        <v>2011.4949999999999</v>
      </c>
      <c r="F17" s="75">
        <v>0</v>
      </c>
    </row>
    <row r="18" spans="2:6" x14ac:dyDescent="0.15">
      <c r="B18" s="81" t="s">
        <v>194</v>
      </c>
      <c r="C18" s="77"/>
      <c r="D18" s="75">
        <v>-233.40600000000001</v>
      </c>
      <c r="E18" s="75">
        <v>0</v>
      </c>
      <c r="F18" s="75">
        <v>0</v>
      </c>
    </row>
    <row r="19" spans="2:6" x14ac:dyDescent="0.15">
      <c r="B19" s="81" t="s">
        <v>190</v>
      </c>
      <c r="C19" s="77"/>
      <c r="D19" s="75">
        <v>0</v>
      </c>
      <c r="E19" s="75">
        <v>0</v>
      </c>
      <c r="F19" s="75">
        <v>-229.161</v>
      </c>
    </row>
    <row r="20" spans="2:6" x14ac:dyDescent="0.15">
      <c r="B20" s="94" t="s">
        <v>191</v>
      </c>
      <c r="C20" s="95"/>
      <c r="D20" s="96">
        <v>10712.557000000001</v>
      </c>
      <c r="E20" s="96">
        <v>17168.972000000002</v>
      </c>
      <c r="F20" s="96">
        <v>19087.072</v>
      </c>
    </row>
    <row r="21" spans="2:6" x14ac:dyDescent="0.15">
      <c r="B21" s="26" t="s">
        <v>192</v>
      </c>
      <c r="D21" s="14"/>
      <c r="E21" s="14"/>
      <c r="F21" s="14"/>
    </row>
    <row r="22" spans="2:6" x14ac:dyDescent="0.15">
      <c r="B22" s="81" t="s">
        <v>135</v>
      </c>
      <c r="D22" s="75">
        <v>-815.71900000000005</v>
      </c>
      <c r="E22" s="75">
        <v>5143.4459999999999</v>
      </c>
      <c r="F22" s="75">
        <v>1998.385</v>
      </c>
    </row>
    <row r="23" spans="2:6" x14ac:dyDescent="0.15">
      <c r="B23" s="81" t="s">
        <v>195</v>
      </c>
      <c r="D23" s="75">
        <v>628.26400000000001</v>
      </c>
      <c r="E23" s="75">
        <v>-1088.384</v>
      </c>
      <c r="F23" s="75">
        <v>-2600.8139999999999</v>
      </c>
    </row>
    <row r="24" spans="2:6" x14ac:dyDescent="0.15">
      <c r="B24" s="81" t="s">
        <v>137</v>
      </c>
      <c r="D24" s="75">
        <v>4949.308</v>
      </c>
      <c r="E24" s="75">
        <v>293.029</v>
      </c>
      <c r="F24" s="75">
        <v>-2551.3580000000002</v>
      </c>
    </row>
    <row r="25" spans="2:6" x14ac:dyDescent="0.15">
      <c r="B25" s="81" t="s">
        <v>145</v>
      </c>
      <c r="D25" s="75">
        <v>4137.6130000000003</v>
      </c>
      <c r="E25" s="75">
        <v>3293.8470000000002</v>
      </c>
      <c r="F25" s="75">
        <v>8442.3220000000001</v>
      </c>
    </row>
    <row r="26" spans="2:6" x14ac:dyDescent="0.15">
      <c r="B26" s="81" t="s">
        <v>196</v>
      </c>
      <c r="D26" s="75">
        <v>-550.29200000000003</v>
      </c>
      <c r="E26" s="75">
        <v>-4886.2610000000004</v>
      </c>
      <c r="F26" s="75">
        <v>33.381999999999998</v>
      </c>
    </row>
    <row r="27" spans="2:6" x14ac:dyDescent="0.15">
      <c r="B27" s="81" t="s">
        <v>150</v>
      </c>
      <c r="D27" s="75">
        <v>-86.960999999999999</v>
      </c>
      <c r="E27" s="75">
        <v>-88.941999999999993</v>
      </c>
      <c r="F27" s="75">
        <v>296.78699999999998</v>
      </c>
    </row>
    <row r="28" spans="2:6" x14ac:dyDescent="0.15">
      <c r="B28" s="81" t="s">
        <v>197</v>
      </c>
      <c r="D28" s="75">
        <v>-32.811</v>
      </c>
      <c r="E28" s="75">
        <v>-4.46</v>
      </c>
      <c r="F28" s="75">
        <v>-224.31399999999999</v>
      </c>
    </row>
    <row r="29" spans="2:6" x14ac:dyDescent="0.15">
      <c r="B29" s="94" t="s">
        <v>198</v>
      </c>
      <c r="C29" s="95"/>
      <c r="D29" s="97">
        <v>18941.958999999999</v>
      </c>
      <c r="E29" s="97">
        <v>19831.246999999999</v>
      </c>
      <c r="F29" s="97">
        <v>24481.462</v>
      </c>
    </row>
    <row r="30" spans="2:6" x14ac:dyDescent="0.15">
      <c r="B30" s="81"/>
      <c r="C30" s="77"/>
      <c r="D30" s="78"/>
      <c r="E30" s="78"/>
      <c r="F30" s="78"/>
    </row>
    <row r="31" spans="2:6" x14ac:dyDescent="0.15">
      <c r="B31" s="26" t="s">
        <v>213</v>
      </c>
      <c r="D31" s="14"/>
      <c r="E31" s="14"/>
      <c r="F31" s="14"/>
    </row>
    <row r="32" spans="2:6" x14ac:dyDescent="0.15">
      <c r="B32" s="81" t="s">
        <v>199</v>
      </c>
      <c r="D32" s="75">
        <v>-2621.8</v>
      </c>
      <c r="E32" s="75">
        <v>-1503.1120000000001</v>
      </c>
      <c r="F32" s="75">
        <v>-1632.5889999999999</v>
      </c>
    </row>
    <row r="33" spans="2:6" x14ac:dyDescent="0.15">
      <c r="B33" s="81" t="s">
        <v>200</v>
      </c>
      <c r="D33" s="75">
        <v>3074.1860000000001</v>
      </c>
      <c r="E33" s="75">
        <v>1712.9949999999999</v>
      </c>
      <c r="F33" s="75">
        <v>1320.3389999999999</v>
      </c>
    </row>
    <row r="34" spans="2:6" x14ac:dyDescent="0.15">
      <c r="B34" s="81" t="s">
        <v>201</v>
      </c>
      <c r="D34" s="75">
        <v>523.04600000000005</v>
      </c>
      <c r="E34" s="75">
        <v>1298.749</v>
      </c>
      <c r="F34" s="75">
        <v>1831.848</v>
      </c>
    </row>
    <row r="35" spans="2:6" x14ac:dyDescent="0.15">
      <c r="B35" s="81" t="s">
        <v>202</v>
      </c>
      <c r="C35" s="77"/>
      <c r="D35" s="75">
        <v>128.77000000000001</v>
      </c>
      <c r="E35" s="75">
        <v>397.28699999999998</v>
      </c>
      <c r="F35" s="75">
        <v>76.454999999999998</v>
      </c>
    </row>
    <row r="36" spans="2:6" x14ac:dyDescent="0.15">
      <c r="B36" s="81" t="s">
        <v>203</v>
      </c>
      <c r="D36" s="75">
        <v>55.624000000000002</v>
      </c>
      <c r="E36" s="75">
        <v>220.029</v>
      </c>
      <c r="F36" s="75">
        <v>-46.87</v>
      </c>
    </row>
    <row r="37" spans="2:6" x14ac:dyDescent="0.15">
      <c r="B37" s="81" t="s">
        <v>204</v>
      </c>
      <c r="D37" s="75">
        <v>-442.858</v>
      </c>
      <c r="E37" s="75">
        <v>-594.55600000000004</v>
      </c>
      <c r="F37" s="75">
        <v>-747</v>
      </c>
    </row>
    <row r="38" spans="2:6" x14ac:dyDescent="0.15">
      <c r="B38" s="81" t="s">
        <v>205</v>
      </c>
      <c r="D38" s="75">
        <v>109.925</v>
      </c>
      <c r="E38" s="75">
        <v>0</v>
      </c>
      <c r="F38" s="75">
        <v>0</v>
      </c>
    </row>
    <row r="39" spans="2:6" x14ac:dyDescent="0.15">
      <c r="B39" s="81" t="s">
        <v>206</v>
      </c>
      <c r="D39" s="75">
        <v>-960.33199999999999</v>
      </c>
      <c r="E39" s="75">
        <v>-578.40700000000004</v>
      </c>
      <c r="F39" s="75">
        <v>-533.56899999999996</v>
      </c>
    </row>
    <row r="40" spans="2:6" x14ac:dyDescent="0.15">
      <c r="B40" s="81" t="s">
        <v>207</v>
      </c>
      <c r="C40" s="77"/>
      <c r="D40" s="75">
        <v>2.3570000000000002</v>
      </c>
      <c r="E40" s="75">
        <v>0.307</v>
      </c>
      <c r="F40" s="75">
        <v>0</v>
      </c>
    </row>
    <row r="41" spans="2:6" x14ac:dyDescent="0.15">
      <c r="B41" s="81" t="s">
        <v>208</v>
      </c>
      <c r="D41" s="75">
        <v>103.199</v>
      </c>
      <c r="E41" s="75">
        <v>-7482.0839999999998</v>
      </c>
      <c r="F41" s="75">
        <v>-3193.8440000000001</v>
      </c>
    </row>
    <row r="42" spans="2:6" x14ac:dyDescent="0.15">
      <c r="B42" s="81" t="s">
        <v>209</v>
      </c>
      <c r="D42" s="75">
        <v>-3.9769999999999999</v>
      </c>
      <c r="E42" s="75">
        <v>-11.571999999999999</v>
      </c>
      <c r="F42" s="75">
        <v>-2.097</v>
      </c>
    </row>
    <row r="43" spans="2:6" x14ac:dyDescent="0.15">
      <c r="B43" s="81" t="s">
        <v>210</v>
      </c>
      <c r="D43" s="75">
        <v>-2500</v>
      </c>
      <c r="E43" s="75">
        <v>0</v>
      </c>
      <c r="F43" s="75">
        <v>0</v>
      </c>
    </row>
    <row r="44" spans="2:6" x14ac:dyDescent="0.15">
      <c r="B44" s="81" t="s">
        <v>211</v>
      </c>
      <c r="C44" s="77"/>
      <c r="D44" s="75">
        <v>0</v>
      </c>
      <c r="E44" s="75">
        <v>1231.19</v>
      </c>
      <c r="F44" s="75">
        <v>0</v>
      </c>
    </row>
    <row r="45" spans="2:6" x14ac:dyDescent="0.15">
      <c r="B45" s="9" t="s">
        <v>227</v>
      </c>
      <c r="D45" s="9">
        <v>0</v>
      </c>
      <c r="E45" s="9">
        <v>0</v>
      </c>
      <c r="F45" s="9">
        <v>657.10699999999997</v>
      </c>
    </row>
    <row r="46" spans="2:6" x14ac:dyDescent="0.15">
      <c r="B46" s="94" t="s">
        <v>212</v>
      </c>
      <c r="C46" s="95"/>
      <c r="D46" s="97">
        <v>-2531.86</v>
      </c>
      <c r="E46" s="97">
        <v>-5309.174</v>
      </c>
      <c r="F46" s="97">
        <v>-2270.2199999999998</v>
      </c>
    </row>
    <row r="47" spans="2:6" x14ac:dyDescent="0.15">
      <c r="B47" s="81"/>
    </row>
    <row r="48" spans="2:6" x14ac:dyDescent="0.15">
      <c r="B48" s="26" t="s">
        <v>214</v>
      </c>
    </row>
    <row r="49" spans="2:6" x14ac:dyDescent="0.15">
      <c r="B49" s="81" t="s">
        <v>215</v>
      </c>
      <c r="D49" s="9">
        <v>10816.460999999999</v>
      </c>
      <c r="E49" s="9">
        <v>1549.777</v>
      </c>
      <c r="F49" s="9">
        <v>904.82500000000005</v>
      </c>
    </row>
    <row r="50" spans="2:6" x14ac:dyDescent="0.15">
      <c r="B50" s="81" t="s">
        <v>216</v>
      </c>
      <c r="D50" s="9">
        <v>-13961.358</v>
      </c>
      <c r="E50" s="9">
        <v>-3751.35</v>
      </c>
      <c r="F50" s="9">
        <v>-738.16700000000003</v>
      </c>
    </row>
    <row r="51" spans="2:6" x14ac:dyDescent="0.15">
      <c r="B51" s="81" t="s">
        <v>217</v>
      </c>
      <c r="D51" s="9">
        <v>-1831.961</v>
      </c>
      <c r="E51" s="9">
        <v>-2906.877</v>
      </c>
      <c r="F51" s="9">
        <v>-7289.4110000000001</v>
      </c>
    </row>
    <row r="52" spans="2:6" x14ac:dyDescent="0.15">
      <c r="B52" s="81" t="s">
        <v>218</v>
      </c>
      <c r="D52" s="9">
        <v>-809.20799999999997</v>
      </c>
      <c r="E52" s="9">
        <v>-920.84100000000001</v>
      </c>
      <c r="F52" s="9">
        <v>-854.56799999999998</v>
      </c>
    </row>
    <row r="53" spans="2:6" x14ac:dyDescent="0.15">
      <c r="B53" s="81" t="s">
        <v>219</v>
      </c>
      <c r="D53" s="9">
        <v>-16.367000000000001</v>
      </c>
      <c r="E53" s="9">
        <v>-14.25</v>
      </c>
      <c r="F53" s="9">
        <v>-13.476000000000001</v>
      </c>
    </row>
    <row r="54" spans="2:6" x14ac:dyDescent="0.15">
      <c r="B54" s="81" t="s">
        <v>220</v>
      </c>
      <c r="D54" s="9">
        <v>0</v>
      </c>
      <c r="E54" s="9">
        <v>15.263999999999999</v>
      </c>
      <c r="F54" s="9">
        <v>-12.28</v>
      </c>
    </row>
    <row r="55" spans="2:6" x14ac:dyDescent="0.15">
      <c r="B55" s="81" t="s">
        <v>221</v>
      </c>
      <c r="D55" s="9">
        <v>-167.995</v>
      </c>
      <c r="E55" s="9">
        <v>-157.261</v>
      </c>
      <c r="F55" s="9">
        <v>-140.58799999999999</v>
      </c>
    </row>
    <row r="56" spans="2:6" x14ac:dyDescent="0.15">
      <c r="B56" s="81" t="s">
        <v>228</v>
      </c>
      <c r="D56" s="9">
        <v>0</v>
      </c>
      <c r="E56" s="9">
        <v>0</v>
      </c>
      <c r="F56" s="9">
        <v>-2750.788</v>
      </c>
    </row>
    <row r="57" spans="2:6" x14ac:dyDescent="0.15">
      <c r="B57" s="81" t="s">
        <v>229</v>
      </c>
      <c r="D57" s="9">
        <v>0</v>
      </c>
      <c r="E57" s="9">
        <v>0</v>
      </c>
      <c r="F57" s="9">
        <v>2134.694</v>
      </c>
    </row>
    <row r="58" spans="2:6" x14ac:dyDescent="0.15">
      <c r="B58" s="94" t="s">
        <v>222</v>
      </c>
      <c r="C58" s="95"/>
      <c r="D58" s="94">
        <v>-5970.4279999999999</v>
      </c>
      <c r="E58" s="94">
        <v>-6185.5379999999996</v>
      </c>
      <c r="F58" s="94">
        <f>SUM(F49:F57)</f>
        <v>-8759.759</v>
      </c>
    </row>
    <row r="59" spans="2:6" x14ac:dyDescent="0.15">
      <c r="B59" s="81"/>
    </row>
    <row r="60" spans="2:6" x14ac:dyDescent="0.15">
      <c r="B60" s="26" t="s">
        <v>223</v>
      </c>
      <c r="D60" s="9">
        <v>10439.671</v>
      </c>
      <c r="E60" s="9">
        <v>8336.5319999999992</v>
      </c>
      <c r="F60" s="9">
        <f>F29+F46+F58</f>
        <v>13451.482999999998</v>
      </c>
    </row>
    <row r="61" spans="2:6" x14ac:dyDescent="0.15">
      <c r="B61" s="93" t="s">
        <v>224</v>
      </c>
      <c r="D61" s="9">
        <v>-358.49799999999999</v>
      </c>
      <c r="E61" s="9">
        <v>-257.01499999999999</v>
      </c>
      <c r="F61" s="9">
        <v>-444.05900000000003</v>
      </c>
    </row>
    <row r="62" spans="2:6" x14ac:dyDescent="0.15">
      <c r="B62" s="93" t="s">
        <v>225</v>
      </c>
      <c r="D62" s="9">
        <v>7463.8829999999998</v>
      </c>
      <c r="E62" s="9">
        <v>17545.056</v>
      </c>
      <c r="F62" s="9">
        <v>25624.573</v>
      </c>
    </row>
    <row r="63" spans="2:6" x14ac:dyDescent="0.15">
      <c r="B63" s="94" t="s">
        <v>226</v>
      </c>
      <c r="C63" s="95"/>
      <c r="D63" s="94">
        <v>17545.056</v>
      </c>
      <c r="E63" s="94">
        <v>25624.573</v>
      </c>
      <c r="F63" s="94">
        <v>38631.997000000003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4E03-112A-6B4E-A72E-E92163C1FFC3}">
  <sheetPr>
    <tabColor rgb="FF002060"/>
  </sheetPr>
  <dimension ref="B1:B11"/>
  <sheetViews>
    <sheetView zoomScale="130" zoomScaleNormal="130" workbookViewId="0">
      <selection activeCell="A12" sqref="A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7" t="s">
        <v>172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670E3-2E7C-AF49-809C-E22953FAA43F}">
  <dimension ref="A1:W155"/>
  <sheetViews>
    <sheetView zoomScale="107" zoomScaleNormal="130" workbookViewId="0">
      <pane ySplit="5" topLeftCell="A6" activePane="bottomLeft" state="frozen"/>
      <selection pane="bottomLeft" activeCell="A6" sqref="A6"/>
    </sheetView>
  </sheetViews>
  <sheetFormatPr baseColWidth="10" defaultColWidth="9.1640625" defaultRowHeight="12" x14ac:dyDescent="0.15"/>
  <cols>
    <col min="1" max="1" width="2" style="9" customWidth="1"/>
    <col min="2" max="2" width="28.6640625" style="9" customWidth="1"/>
    <col min="3" max="3" width="10.5" style="9" bestFit="1" customWidth="1"/>
    <col min="4" max="5" width="9.1640625" style="9"/>
    <col min="6" max="6" width="2" style="9" customWidth="1"/>
    <col min="7" max="7" width="11" style="9" bestFit="1" customWidth="1"/>
    <col min="8" max="11" width="10.5" style="9" bestFit="1" customWidth="1"/>
    <col min="12" max="12" width="9.1640625" style="9"/>
    <col min="13" max="13" width="40.1640625" style="9" bestFit="1" customWidth="1"/>
    <col min="14" max="14" width="9.1640625" style="9" customWidth="1"/>
    <col min="15" max="16384" width="9.1640625" style="9"/>
  </cols>
  <sheetData>
    <row r="1" spans="1:16" ht="16" x14ac:dyDescent="0.2">
      <c r="A1" s="2"/>
      <c r="B1" s="8" t="s">
        <v>270</v>
      </c>
    </row>
    <row r="2" spans="1:16" x14ac:dyDescent="0.15">
      <c r="B2" s="9" t="s">
        <v>104</v>
      </c>
      <c r="G2" s="9" t="s">
        <v>15</v>
      </c>
    </row>
    <row r="3" spans="1:16" x14ac:dyDescent="0.15">
      <c r="G3" s="9" t="s">
        <v>16</v>
      </c>
      <c r="H3" s="9" t="s">
        <v>17</v>
      </c>
    </row>
    <row r="4" spans="1:16" x14ac:dyDescent="0.15">
      <c r="G4" s="9" t="s">
        <v>18</v>
      </c>
      <c r="H4" s="9" t="s">
        <v>19</v>
      </c>
    </row>
    <row r="5" spans="1:16" x14ac:dyDescent="0.15">
      <c r="B5" s="9" t="s">
        <v>20</v>
      </c>
      <c r="C5" s="6">
        <v>1</v>
      </c>
      <c r="G5" s="9" t="s">
        <v>21</v>
      </c>
      <c r="H5" s="9" t="s">
        <v>22</v>
      </c>
    </row>
    <row r="7" spans="1:16" ht="17" customHeight="1" x14ac:dyDescent="0.2">
      <c r="B7" s="8" t="s">
        <v>4</v>
      </c>
    </row>
    <row r="8" spans="1:16" ht="27" thickBot="1" x14ac:dyDescent="0.2">
      <c r="B8" s="86" t="s">
        <v>105</v>
      </c>
      <c r="C8" s="11" t="s">
        <v>237</v>
      </c>
      <c r="D8" s="11" t="s">
        <v>238</v>
      </c>
      <c r="E8" s="11" t="s">
        <v>239</v>
      </c>
      <c r="F8" s="12"/>
      <c r="G8" s="13" t="s">
        <v>240</v>
      </c>
      <c r="H8" s="13" t="s">
        <v>241</v>
      </c>
      <c r="I8" s="13" t="s">
        <v>242</v>
      </c>
      <c r="J8" s="13" t="s">
        <v>243</v>
      </c>
      <c r="K8" s="13" t="s">
        <v>244</v>
      </c>
    </row>
    <row r="9" spans="1:16" ht="30" customHeight="1" x14ac:dyDescent="0.15">
      <c r="B9" s="77" t="s">
        <v>23</v>
      </c>
      <c r="C9" s="78">
        <f>'P&amp;L source'!D9</f>
        <v>24925.673999999999</v>
      </c>
      <c r="D9" s="78">
        <f>'P&amp;L source'!E9</f>
        <v>26749.821</v>
      </c>
      <c r="E9" s="78">
        <f>'P&amp;L source'!F9</f>
        <v>35504.92</v>
      </c>
      <c r="G9" s="100">
        <f>E9*(1+G10)</f>
        <v>42605.903999999995</v>
      </c>
      <c r="H9" s="100">
        <f>G9*(1+H10)</f>
        <v>51127.08479999999</v>
      </c>
      <c r="I9" s="100">
        <f>H9*(1+I10)</f>
        <v>61352.501759999985</v>
      </c>
      <c r="J9" s="100">
        <f>I9*(1+J10)</f>
        <v>73623.002111999973</v>
      </c>
      <c r="K9" s="100">
        <f>J9*(1+K10)</f>
        <v>88347.602534399964</v>
      </c>
      <c r="M9" s="109" t="s">
        <v>245</v>
      </c>
      <c r="N9" s="122" t="s">
        <v>259</v>
      </c>
      <c r="O9" s="122" t="s">
        <v>260</v>
      </c>
      <c r="P9" s="122" t="s">
        <v>261</v>
      </c>
    </row>
    <row r="10" spans="1:16" x14ac:dyDescent="0.15">
      <c r="B10" s="80" t="s">
        <v>24</v>
      </c>
      <c r="C10" s="98">
        <v>0</v>
      </c>
      <c r="D10" s="99">
        <f>D9/C9-1</f>
        <v>7.3183457346028158E-2</v>
      </c>
      <c r="E10" s="99">
        <f>E9/D9-1</f>
        <v>0.32729561068838553</v>
      </c>
      <c r="F10" s="80"/>
      <c r="G10" s="108">
        <f>CHOOSE($C$5,G11,G12,G13)</f>
        <v>0.2</v>
      </c>
      <c r="H10" s="108">
        <f t="shared" ref="H10:K10" si="0">CHOOSE($C$5,H11,H12,H13)</f>
        <v>0.2</v>
      </c>
      <c r="I10" s="108">
        <f t="shared" si="0"/>
        <v>0.2</v>
      </c>
      <c r="J10" s="108">
        <f t="shared" si="0"/>
        <v>0.2</v>
      </c>
      <c r="K10" s="108">
        <f t="shared" si="0"/>
        <v>0.2</v>
      </c>
      <c r="M10" s="163" t="s">
        <v>246</v>
      </c>
      <c r="N10" s="164"/>
      <c r="O10" s="164"/>
      <c r="P10" s="164"/>
    </row>
    <row r="11" spans="1:16" x14ac:dyDescent="0.15">
      <c r="B11" s="9" t="s">
        <v>16</v>
      </c>
      <c r="C11" s="18"/>
      <c r="D11" s="18"/>
      <c r="E11" s="18"/>
      <c r="G11" s="63">
        <v>0.2</v>
      </c>
      <c r="H11" s="63">
        <v>0.2</v>
      </c>
      <c r="I11" s="63">
        <v>0.2</v>
      </c>
      <c r="J11" s="63">
        <v>0.2</v>
      </c>
      <c r="K11" s="63">
        <v>0.2</v>
      </c>
      <c r="M11" s="114" t="s">
        <v>251</v>
      </c>
      <c r="N11" s="111">
        <v>0.2</v>
      </c>
      <c r="O11" s="111">
        <v>0.15</v>
      </c>
      <c r="P11" s="111">
        <v>0.05</v>
      </c>
    </row>
    <row r="12" spans="1:16" x14ac:dyDescent="0.15">
      <c r="B12" s="9" t="s">
        <v>18</v>
      </c>
      <c r="C12" s="18"/>
      <c r="D12" s="18"/>
      <c r="E12" s="18"/>
      <c r="G12" s="63">
        <v>0.15</v>
      </c>
      <c r="H12" s="63">
        <v>0.15</v>
      </c>
      <c r="I12" s="63">
        <v>0.15</v>
      </c>
      <c r="J12" s="63">
        <v>0.15</v>
      </c>
      <c r="K12" s="63">
        <v>0.15</v>
      </c>
      <c r="M12" s="114" t="s">
        <v>252</v>
      </c>
      <c r="N12" s="111">
        <v>0.4</v>
      </c>
      <c r="O12" s="111">
        <v>0.43</v>
      </c>
      <c r="P12" s="111">
        <v>0.47</v>
      </c>
    </row>
    <row r="13" spans="1:16" x14ac:dyDescent="0.15">
      <c r="B13" s="9" t="s">
        <v>21</v>
      </c>
      <c r="C13" s="18"/>
      <c r="D13" s="18"/>
      <c r="E13" s="18"/>
      <c r="G13" s="63">
        <v>0.05</v>
      </c>
      <c r="H13" s="63">
        <v>0.05</v>
      </c>
      <c r="I13" s="63">
        <v>0.05</v>
      </c>
      <c r="J13" s="63">
        <v>0.05</v>
      </c>
      <c r="K13" s="63">
        <v>0.05</v>
      </c>
      <c r="M13" s="114" t="s">
        <v>253</v>
      </c>
      <c r="N13" s="111">
        <v>7.0000000000000007E-2</v>
      </c>
      <c r="O13" s="111">
        <v>0.08</v>
      </c>
      <c r="P13" s="111">
        <v>0.09</v>
      </c>
    </row>
    <row r="14" spans="1:16" ht="12" customHeight="1" x14ac:dyDescent="0.15">
      <c r="G14" s="100"/>
      <c r="H14" s="100"/>
      <c r="I14" s="100"/>
      <c r="J14" s="15"/>
      <c r="K14" s="15"/>
      <c r="M14" s="114" t="s">
        <v>254</v>
      </c>
      <c r="N14" s="111">
        <v>0.04</v>
      </c>
      <c r="O14" s="111">
        <v>4.2000000000000003E-2</v>
      </c>
      <c r="P14" s="111">
        <v>4.4999999999999998E-2</v>
      </c>
    </row>
    <row r="15" spans="1:16" x14ac:dyDescent="0.15">
      <c r="B15" s="77" t="s">
        <v>233</v>
      </c>
      <c r="C15" s="78">
        <f>'P&amp;L source'!D16</f>
        <v>-12338.36</v>
      </c>
      <c r="D15" s="78">
        <f>'P&amp;L source'!E16</f>
        <v>-9884.5</v>
      </c>
      <c r="E15" s="78">
        <f>'P&amp;L source'!F16</f>
        <v>-15124.359999999999</v>
      </c>
      <c r="G15" s="102">
        <f>-G9*G16</f>
        <v>-17042.3616</v>
      </c>
      <c r="H15" s="102">
        <f t="shared" ref="H15:K15" si="1">-H9*H16</f>
        <v>-20450.833919999997</v>
      </c>
      <c r="I15" s="102">
        <f t="shared" si="1"/>
        <v>-24541.000703999995</v>
      </c>
      <c r="J15" s="102">
        <f t="shared" si="1"/>
        <v>-29449.200844799991</v>
      </c>
      <c r="K15" s="102">
        <f t="shared" si="1"/>
        <v>-35339.04101375999</v>
      </c>
      <c r="M15" s="114" t="s">
        <v>255</v>
      </c>
      <c r="N15" s="111">
        <v>0.14000000000000001</v>
      </c>
      <c r="O15" s="111">
        <v>0.13</v>
      </c>
      <c r="P15" s="111">
        <v>0.11</v>
      </c>
    </row>
    <row r="16" spans="1:16" x14ac:dyDescent="0.15">
      <c r="B16" s="80" t="s">
        <v>25</v>
      </c>
      <c r="C16" s="101">
        <f>ABS(C15/C9)</f>
        <v>0.49500607285484038</v>
      </c>
      <c r="D16" s="101">
        <f t="shared" ref="D16:E16" si="2">ABS(D15/D9)</f>
        <v>0.36951649134399817</v>
      </c>
      <c r="E16" s="101">
        <f t="shared" si="2"/>
        <v>0.42597927273177916</v>
      </c>
      <c r="G16" s="108">
        <f>CHOOSE($C$5,G17,G18,G19)</f>
        <v>0.4</v>
      </c>
      <c r="H16" s="108">
        <f t="shared" ref="H16" si="3">CHOOSE($C$5,H17,H18,H19)</f>
        <v>0.4</v>
      </c>
      <c r="I16" s="108">
        <f t="shared" ref="I16" si="4">CHOOSE($C$5,I17,I18,I19)</f>
        <v>0.4</v>
      </c>
      <c r="J16" s="108">
        <f t="shared" ref="J16" si="5">CHOOSE($C$5,J17,J18,J19)</f>
        <v>0.4</v>
      </c>
      <c r="K16" s="108">
        <f t="shared" ref="K16" si="6">CHOOSE($C$5,K17,K18,K19)</f>
        <v>0.4</v>
      </c>
      <c r="M16" s="114" t="s">
        <v>256</v>
      </c>
      <c r="N16" s="111">
        <v>7.0000000000000007E-2</v>
      </c>
      <c r="O16" s="111">
        <v>7.4999999999999997E-2</v>
      </c>
      <c r="P16" s="111">
        <v>8.5000000000000006E-2</v>
      </c>
    </row>
    <row r="17" spans="2:16" x14ac:dyDescent="0.15">
      <c r="B17" s="9" t="s">
        <v>16</v>
      </c>
      <c r="C17" s="18"/>
      <c r="D17" s="18"/>
      <c r="E17" s="18"/>
      <c r="G17" s="63">
        <v>0.4</v>
      </c>
      <c r="H17" s="63">
        <v>0.4</v>
      </c>
      <c r="I17" s="63">
        <v>0.4</v>
      </c>
      <c r="J17" s="63">
        <v>0.4</v>
      </c>
      <c r="K17" s="63">
        <v>0.4</v>
      </c>
      <c r="M17" s="114" t="s">
        <v>257</v>
      </c>
      <c r="N17" s="111">
        <v>0.15</v>
      </c>
      <c r="O17" s="111">
        <v>0.1</v>
      </c>
      <c r="P17" s="111">
        <v>0</v>
      </c>
    </row>
    <row r="18" spans="2:16" x14ac:dyDescent="0.15">
      <c r="B18" s="9" t="s">
        <v>18</v>
      </c>
      <c r="C18" s="18"/>
      <c r="D18" s="18"/>
      <c r="E18" s="18"/>
      <c r="G18" s="63">
        <v>0.43</v>
      </c>
      <c r="H18" s="63">
        <v>0.43</v>
      </c>
      <c r="I18" s="63">
        <v>0.43</v>
      </c>
      <c r="J18" s="63">
        <v>0.43</v>
      </c>
      <c r="K18" s="63">
        <v>0.43</v>
      </c>
      <c r="M18" s="114" t="s">
        <v>258</v>
      </c>
      <c r="N18" s="111">
        <v>0.08</v>
      </c>
      <c r="O18" s="111">
        <v>0.1</v>
      </c>
      <c r="P18" s="111">
        <v>0.12</v>
      </c>
    </row>
    <row r="19" spans="2:16" x14ac:dyDescent="0.15">
      <c r="B19" s="9" t="s">
        <v>21</v>
      </c>
      <c r="C19" s="18"/>
      <c r="D19" s="18"/>
      <c r="E19" s="18"/>
      <c r="G19" s="63">
        <v>0.47</v>
      </c>
      <c r="H19" s="63">
        <v>0.47</v>
      </c>
      <c r="I19" s="63">
        <v>0.47</v>
      </c>
      <c r="J19" s="63">
        <v>0.47</v>
      </c>
      <c r="K19" s="63">
        <v>0.47</v>
      </c>
      <c r="M19" s="163" t="s">
        <v>247</v>
      </c>
      <c r="N19" s="164"/>
      <c r="O19" s="164"/>
      <c r="P19" s="164"/>
    </row>
    <row r="20" spans="2:16" ht="11" customHeight="1" x14ac:dyDescent="0.15">
      <c r="C20" s="14"/>
      <c r="D20" s="14"/>
      <c r="E20" s="14"/>
      <c r="G20" s="15"/>
      <c r="H20" s="15"/>
      <c r="I20" s="15"/>
      <c r="J20" s="15"/>
      <c r="K20" s="15"/>
      <c r="M20" s="114" t="s">
        <v>291</v>
      </c>
      <c r="N20" s="112">
        <v>150</v>
      </c>
      <c r="O20" s="112">
        <v>180</v>
      </c>
      <c r="P20" s="112">
        <v>210</v>
      </c>
    </row>
    <row r="21" spans="2:16" x14ac:dyDescent="0.15">
      <c r="B21" s="77" t="s">
        <v>26</v>
      </c>
      <c r="C21" s="78">
        <f>SUM('P&amp;L source'!D20:D22)</f>
        <v>-3261.95</v>
      </c>
      <c r="D21" s="78">
        <f>SUM('P&amp;L source'!E20:E22)</f>
        <v>-2460.7799999999997</v>
      </c>
      <c r="E21" s="78">
        <f>SUM('P&amp;L source'!F20:F22)</f>
        <v>-2817.5010000000002</v>
      </c>
      <c r="G21" s="102">
        <f>-G22*G9</f>
        <v>-2982.4132799999998</v>
      </c>
      <c r="H21" s="102">
        <f t="shared" ref="H21:K21" si="7">-H22*H9</f>
        <v>-3578.8959359999994</v>
      </c>
      <c r="I21" s="102">
        <f t="shared" si="7"/>
        <v>-4294.6751231999997</v>
      </c>
      <c r="J21" s="102">
        <f t="shared" si="7"/>
        <v>-5153.6101478399987</v>
      </c>
      <c r="K21" s="102">
        <f t="shared" si="7"/>
        <v>-6184.3321774079977</v>
      </c>
      <c r="M21" s="114" t="s">
        <v>292</v>
      </c>
      <c r="N21" s="112">
        <v>950</v>
      </c>
      <c r="O21" s="112">
        <v>1050</v>
      </c>
      <c r="P21" s="112">
        <v>1150</v>
      </c>
    </row>
    <row r="22" spans="2:16" x14ac:dyDescent="0.15">
      <c r="B22" s="80" t="s">
        <v>25</v>
      </c>
      <c r="C22" s="99">
        <f>ABS(C21/C9)</f>
        <v>0.13086707304283929</v>
      </c>
      <c r="D22" s="99">
        <f t="shared" ref="D22:E22" si="8">ABS(D21/D9)</f>
        <v>9.1992391276188343E-2</v>
      </c>
      <c r="E22" s="99">
        <f t="shared" si="8"/>
        <v>7.9355227388204233E-2</v>
      </c>
      <c r="G22" s="108">
        <f>CHOOSE($C$5,G23,G24,G25)</f>
        <v>7.0000000000000007E-2</v>
      </c>
      <c r="H22" s="108">
        <f t="shared" ref="H22" si="9">CHOOSE($C$5,H23,H24,H25)</f>
        <v>7.0000000000000007E-2</v>
      </c>
      <c r="I22" s="108">
        <f t="shared" ref="I22" si="10">CHOOSE($C$5,I23,I24,I25)</f>
        <v>7.0000000000000007E-2</v>
      </c>
      <c r="J22" s="108">
        <f t="shared" ref="J22" si="11">CHOOSE($C$5,J23,J24,J25)</f>
        <v>7.0000000000000007E-2</v>
      </c>
      <c r="K22" s="108">
        <f t="shared" ref="K22" si="12">CHOOSE($C$5,K23,K24,K25)</f>
        <v>7.0000000000000007E-2</v>
      </c>
      <c r="M22" s="114" t="s">
        <v>293</v>
      </c>
      <c r="N22" s="111">
        <v>0.8</v>
      </c>
      <c r="O22" s="111">
        <v>0.9</v>
      </c>
      <c r="P22" s="111">
        <v>1</v>
      </c>
    </row>
    <row r="23" spans="2:16" x14ac:dyDescent="0.15">
      <c r="B23" s="9" t="s">
        <v>16</v>
      </c>
      <c r="C23" s="18"/>
      <c r="D23" s="18"/>
      <c r="E23" s="18"/>
      <c r="G23" s="63">
        <v>7.0000000000000007E-2</v>
      </c>
      <c r="H23" s="63">
        <v>7.0000000000000007E-2</v>
      </c>
      <c r="I23" s="63">
        <v>7.0000000000000007E-2</v>
      </c>
      <c r="J23" s="63">
        <v>7.0000000000000007E-2</v>
      </c>
      <c r="K23" s="63">
        <v>7.0000000000000007E-2</v>
      </c>
      <c r="M23" s="114" t="s">
        <v>294</v>
      </c>
      <c r="N23" s="111">
        <v>0.05</v>
      </c>
      <c r="O23" s="111">
        <v>0.02</v>
      </c>
      <c r="P23" s="111">
        <v>0</v>
      </c>
    </row>
    <row r="24" spans="2:16" x14ac:dyDescent="0.15">
      <c r="B24" s="9" t="s">
        <v>18</v>
      </c>
      <c r="C24" s="18"/>
      <c r="D24" s="18"/>
      <c r="E24" s="18"/>
      <c r="G24" s="63">
        <v>0.08</v>
      </c>
      <c r="H24" s="63">
        <v>0.08</v>
      </c>
      <c r="I24" s="63">
        <v>0.08</v>
      </c>
      <c r="J24" s="63">
        <v>0.08</v>
      </c>
      <c r="K24" s="63">
        <v>0.08</v>
      </c>
      <c r="M24" s="114" t="s">
        <v>295</v>
      </c>
      <c r="N24" s="111">
        <v>0.26</v>
      </c>
      <c r="O24" s="111">
        <v>0.27</v>
      </c>
      <c r="P24" s="111">
        <v>0.28999999999999998</v>
      </c>
    </row>
    <row r="25" spans="2:16" ht="12" customHeight="1" x14ac:dyDescent="0.15">
      <c r="B25" s="9" t="s">
        <v>21</v>
      </c>
      <c r="C25" s="18"/>
      <c r="D25" s="18"/>
      <c r="E25" s="18"/>
      <c r="G25" s="63">
        <v>0.09</v>
      </c>
      <c r="H25" s="63">
        <v>0.09</v>
      </c>
      <c r="I25" s="63">
        <v>0.09</v>
      </c>
      <c r="J25" s="63">
        <v>0.09</v>
      </c>
      <c r="K25" s="63">
        <v>0.09</v>
      </c>
      <c r="M25" s="114" t="s">
        <v>296</v>
      </c>
      <c r="N25" s="112">
        <v>500</v>
      </c>
      <c r="O25" s="112">
        <v>450</v>
      </c>
      <c r="P25" s="112">
        <v>400</v>
      </c>
    </row>
    <row r="26" spans="2:16" ht="13" customHeight="1" x14ac:dyDescent="0.15">
      <c r="C26" s="14"/>
      <c r="D26" s="14"/>
      <c r="E26" s="14"/>
      <c r="G26" s="17"/>
      <c r="H26" s="17"/>
      <c r="I26" s="17"/>
      <c r="J26" s="17"/>
      <c r="K26" s="17"/>
      <c r="M26" s="114" t="s">
        <v>301</v>
      </c>
      <c r="N26" s="111" t="s">
        <v>303</v>
      </c>
      <c r="O26" s="111" t="s">
        <v>303</v>
      </c>
      <c r="P26" s="111" t="s">
        <v>303</v>
      </c>
    </row>
    <row r="27" spans="2:16" ht="12" customHeight="1" x14ac:dyDescent="0.15">
      <c r="B27" s="77" t="s">
        <v>27</v>
      </c>
      <c r="C27" s="78">
        <f>SUM('P&amp;L source'!D26:D27)</f>
        <v>-1269.171</v>
      </c>
      <c r="D27" s="78">
        <f>SUM('P&amp;L source'!E26:E27)</f>
        <v>-1396.76</v>
      </c>
      <c r="E27" s="78">
        <f>SUM('P&amp;L source'!F26:F27)</f>
        <v>-1426.72</v>
      </c>
      <c r="G27" s="102">
        <f>-G28*G9</f>
        <v>-1704.2361599999999</v>
      </c>
      <c r="H27" s="102">
        <f t="shared" ref="H27:K27" si="13">-H28*H9</f>
        <v>-2045.0833919999995</v>
      </c>
      <c r="I27" s="102">
        <f t="shared" si="13"/>
        <v>-2454.1000703999994</v>
      </c>
      <c r="J27" s="102">
        <f t="shared" si="13"/>
        <v>-2944.9200844799989</v>
      </c>
      <c r="K27" s="102">
        <f t="shared" si="13"/>
        <v>-3533.9041013759988</v>
      </c>
      <c r="M27" s="114" t="s">
        <v>297</v>
      </c>
      <c r="N27" s="111">
        <v>4.4999999999999998E-2</v>
      </c>
      <c r="O27" s="111">
        <v>0.04</v>
      </c>
      <c r="P27" s="111">
        <v>3.5000000000000003E-2</v>
      </c>
    </row>
    <row r="28" spans="2:16" ht="12" customHeight="1" x14ac:dyDescent="0.15">
      <c r="B28" s="80" t="s">
        <v>25</v>
      </c>
      <c r="C28" s="99">
        <f>ABS(C27/C9)</f>
        <v>5.0918221910468707E-2</v>
      </c>
      <c r="D28" s="99">
        <f t="shared" ref="D28:E28" si="14">ABS(D27/D9)</f>
        <v>5.2215676508639064E-2</v>
      </c>
      <c r="E28" s="99">
        <f t="shared" si="14"/>
        <v>4.0183726649715028E-2</v>
      </c>
      <c r="G28" s="108">
        <f>CHOOSE($C$5,G29,G30,G31)</f>
        <v>0.04</v>
      </c>
      <c r="H28" s="108">
        <f t="shared" ref="H28" si="15">CHOOSE($C$5,H29,H30,H31)</f>
        <v>0.04</v>
      </c>
      <c r="I28" s="108">
        <f t="shared" ref="I28" si="16">CHOOSE($C$5,I29,I30,I31)</f>
        <v>0.04</v>
      </c>
      <c r="J28" s="108">
        <f t="shared" ref="J28" si="17">CHOOSE($C$5,J29,J30,J31)</f>
        <v>0.04</v>
      </c>
      <c r="K28" s="108">
        <f t="shared" ref="K28" si="18">CHOOSE($C$5,K29,K30,K31)</f>
        <v>0.04</v>
      </c>
      <c r="M28" s="114" t="s">
        <v>298</v>
      </c>
      <c r="N28" s="111">
        <v>0.92</v>
      </c>
      <c r="O28" s="111">
        <v>0.88</v>
      </c>
      <c r="P28" s="111">
        <v>0.75</v>
      </c>
    </row>
    <row r="29" spans="2:16" ht="12" customHeight="1" x14ac:dyDescent="0.15">
      <c r="B29" s="9" t="s">
        <v>16</v>
      </c>
      <c r="C29" s="18"/>
      <c r="D29" s="18"/>
      <c r="E29" s="18"/>
      <c r="G29" s="63">
        <v>0.04</v>
      </c>
      <c r="H29" s="63">
        <v>0.04</v>
      </c>
      <c r="I29" s="63">
        <v>0.04</v>
      </c>
      <c r="J29" s="63">
        <v>0.04</v>
      </c>
      <c r="K29" s="63">
        <v>0.04</v>
      </c>
      <c r="M29" s="114" t="s">
        <v>299</v>
      </c>
      <c r="N29" s="111">
        <v>-0.15</v>
      </c>
      <c r="O29" s="111">
        <v>-0.1</v>
      </c>
      <c r="P29" s="111">
        <v>0</v>
      </c>
    </row>
    <row r="30" spans="2:16" ht="12" customHeight="1" x14ac:dyDescent="0.15">
      <c r="B30" s="9" t="s">
        <v>18</v>
      </c>
      <c r="C30" s="18"/>
      <c r="D30" s="18"/>
      <c r="E30" s="18"/>
      <c r="G30" s="63">
        <v>4.2000000000000003E-2</v>
      </c>
      <c r="H30" s="63">
        <v>4.2000000000000003E-2</v>
      </c>
      <c r="I30" s="63">
        <v>4.2000000000000003E-2</v>
      </c>
      <c r="J30" s="63">
        <v>4.2000000000000003E-2</v>
      </c>
      <c r="K30" s="63">
        <v>4.2000000000000003E-2</v>
      </c>
      <c r="M30" s="114" t="s">
        <v>300</v>
      </c>
      <c r="N30" s="111">
        <v>7.0000000000000007E-2</v>
      </c>
      <c r="O30" s="111">
        <v>0.08</v>
      </c>
      <c r="P30" s="111">
        <v>0.1</v>
      </c>
    </row>
    <row r="31" spans="2:16" ht="12" customHeight="1" x14ac:dyDescent="0.15">
      <c r="B31" s="9" t="s">
        <v>21</v>
      </c>
      <c r="C31" s="18"/>
      <c r="D31" s="18"/>
      <c r="E31" s="18"/>
      <c r="G31" s="63">
        <v>4.4999999999999998E-2</v>
      </c>
      <c r="H31" s="63">
        <v>4.4999999999999998E-2</v>
      </c>
      <c r="I31" s="63">
        <v>4.4999999999999998E-2</v>
      </c>
      <c r="J31" s="63">
        <v>4.4999999999999998E-2</v>
      </c>
      <c r="K31" s="63">
        <v>4.4999999999999998E-2</v>
      </c>
      <c r="M31" s="163" t="s">
        <v>248</v>
      </c>
      <c r="N31" s="164"/>
      <c r="O31" s="164"/>
      <c r="P31" s="164"/>
    </row>
    <row r="32" spans="2:16" ht="11" customHeight="1" x14ac:dyDescent="0.15">
      <c r="C32" s="14"/>
      <c r="D32" s="14"/>
      <c r="E32" s="14"/>
      <c r="G32" s="17"/>
      <c r="H32" s="17"/>
      <c r="I32" s="17"/>
      <c r="J32" s="17"/>
      <c r="K32" s="17"/>
      <c r="M32" s="110" t="s">
        <v>345</v>
      </c>
      <c r="N32" s="111">
        <v>3.5000000000000003E-2</v>
      </c>
      <c r="O32" s="111">
        <v>4.4999999999999998E-2</v>
      </c>
      <c r="P32" s="111">
        <v>5.5E-2</v>
      </c>
    </row>
    <row r="33" spans="2:23" x14ac:dyDescent="0.15">
      <c r="B33" s="77" t="s">
        <v>232</v>
      </c>
      <c r="C33" s="78">
        <f>'P&amp;L source'!D30</f>
        <v>1057.33</v>
      </c>
      <c r="D33" s="78">
        <f>'P&amp;L source'!E30</f>
        <v>1603.57</v>
      </c>
      <c r="E33" s="78">
        <f>'P&amp;L source'!F30</f>
        <v>2102.4499999999998</v>
      </c>
      <c r="G33" s="100">
        <f>G34*G59</f>
        <v>2922.7650143999995</v>
      </c>
      <c r="H33" s="100">
        <f t="shared" ref="H33:K33" si="19">H34*H59</f>
        <v>3507.3180172799989</v>
      </c>
      <c r="I33" s="100">
        <f t="shared" si="19"/>
        <v>4208.7816207360001</v>
      </c>
      <c r="J33" s="100">
        <f t="shared" si="19"/>
        <v>5050.5379448831982</v>
      </c>
      <c r="K33" s="100">
        <f t="shared" si="19"/>
        <v>6060.645533859838</v>
      </c>
      <c r="M33" s="113" t="s">
        <v>346</v>
      </c>
      <c r="N33" s="135">
        <v>0.4</v>
      </c>
      <c r="O33" s="135">
        <v>0.3</v>
      </c>
      <c r="P33" s="135">
        <v>0.15</v>
      </c>
    </row>
    <row r="34" spans="2:23" x14ac:dyDescent="0.15">
      <c r="B34" s="80" t="s">
        <v>235</v>
      </c>
      <c r="C34" s="99">
        <f>C33/C59</f>
        <v>0.13124437311767484</v>
      </c>
      <c r="D34" s="99">
        <f t="shared" ref="D34:E34" si="20">D33/D59</f>
        <v>0.12327775198552311</v>
      </c>
      <c r="E34" s="99">
        <f t="shared" si="20"/>
        <v>0.13029287498236125</v>
      </c>
      <c r="G34" s="108">
        <f>CHOOSE($C$5,G35,G36,G37)</f>
        <v>0.14000000000000001</v>
      </c>
      <c r="H34" s="108">
        <f t="shared" ref="H34" si="21">CHOOSE($C$5,H35,H36,H37)</f>
        <v>0.14000000000000001</v>
      </c>
      <c r="I34" s="108">
        <f t="shared" ref="I34" si="22">CHOOSE($C$5,I35,I36,I37)</f>
        <v>0.14000000000000001</v>
      </c>
      <c r="J34" s="108">
        <f t="shared" ref="J34" si="23">CHOOSE($C$5,J35,J36,J37)</f>
        <v>0.14000000000000001</v>
      </c>
      <c r="K34" s="108">
        <f t="shared" ref="K34" si="24">CHOOSE($C$5,K35,K36,K37)</f>
        <v>0.14000000000000001</v>
      </c>
      <c r="M34" s="113" t="s">
        <v>347</v>
      </c>
      <c r="N34" s="112">
        <v>-150</v>
      </c>
      <c r="O34" s="112">
        <v>-200</v>
      </c>
      <c r="P34" s="112">
        <v>-300</v>
      </c>
    </row>
    <row r="35" spans="2:23" x14ac:dyDescent="0.15">
      <c r="B35" s="9" t="s">
        <v>16</v>
      </c>
      <c r="C35" s="18"/>
      <c r="D35" s="18"/>
      <c r="E35" s="18"/>
      <c r="G35" s="63">
        <v>0.14000000000000001</v>
      </c>
      <c r="H35" s="63">
        <v>0.14000000000000001</v>
      </c>
      <c r="I35" s="63">
        <v>0.14000000000000001</v>
      </c>
      <c r="J35" s="63">
        <v>0.14000000000000001</v>
      </c>
      <c r="K35" s="63">
        <v>0.14000000000000001</v>
      </c>
    </row>
    <row r="36" spans="2:23" x14ac:dyDescent="0.15">
      <c r="B36" s="9" t="s">
        <v>18</v>
      </c>
      <c r="C36" s="18"/>
      <c r="D36" s="18"/>
      <c r="E36" s="18"/>
      <c r="G36" s="63">
        <v>0.13</v>
      </c>
      <c r="H36" s="63">
        <v>0.13</v>
      </c>
      <c r="I36" s="63">
        <v>0.13</v>
      </c>
      <c r="J36" s="63">
        <v>0.13</v>
      </c>
      <c r="K36" s="63">
        <v>0.13</v>
      </c>
    </row>
    <row r="37" spans="2:23" ht="12" customHeight="1" x14ac:dyDescent="0.15">
      <c r="B37" s="9" t="s">
        <v>21</v>
      </c>
      <c r="C37" s="18"/>
      <c r="D37" s="18"/>
      <c r="E37" s="18"/>
      <c r="G37" s="63">
        <v>0.11</v>
      </c>
      <c r="H37" s="63">
        <v>0.11</v>
      </c>
      <c r="I37" s="63">
        <v>0.11</v>
      </c>
      <c r="J37" s="63">
        <v>0.11</v>
      </c>
      <c r="K37" s="63">
        <v>0.11</v>
      </c>
      <c r="M37" s="115" t="s">
        <v>249</v>
      </c>
      <c r="N37" s="165" t="s">
        <v>250</v>
      </c>
      <c r="O37" s="165"/>
      <c r="P37" s="165"/>
      <c r="Q37" s="165"/>
      <c r="R37" s="165"/>
      <c r="S37" s="165"/>
      <c r="T37" s="165"/>
      <c r="U37" s="165"/>
      <c r="V37" s="165"/>
      <c r="W37" s="165"/>
    </row>
    <row r="38" spans="2:23" ht="11" customHeight="1" x14ac:dyDescent="0.15">
      <c r="C38" s="14"/>
      <c r="D38" s="14"/>
      <c r="E38" s="14"/>
      <c r="G38" s="17"/>
      <c r="H38" s="17"/>
      <c r="I38" s="17"/>
      <c r="J38" s="17"/>
      <c r="K38" s="17"/>
      <c r="M38" s="166" t="s">
        <v>246</v>
      </c>
      <c r="N38" s="167"/>
      <c r="O38" s="167"/>
      <c r="P38" s="167"/>
      <c r="Q38" s="167"/>
      <c r="R38" s="167"/>
      <c r="S38" s="167"/>
      <c r="T38" s="167"/>
      <c r="U38" s="167"/>
      <c r="V38" s="167"/>
      <c r="W38" s="168"/>
    </row>
    <row r="39" spans="2:23" ht="12" customHeight="1" x14ac:dyDescent="0.15">
      <c r="B39" s="77" t="s">
        <v>231</v>
      </c>
      <c r="C39" s="78">
        <f>'P&amp;L source'!D31</f>
        <v>-981.39</v>
      </c>
      <c r="D39" s="78">
        <f>'P&amp;L source'!E31</f>
        <v>-1039.47</v>
      </c>
      <c r="E39" s="78">
        <f>'P&amp;L source'!F31</f>
        <v>-940.91</v>
      </c>
      <c r="G39" s="100">
        <f>-G40*AVERAGE(G121,E121)</f>
        <v>-627.199839</v>
      </c>
      <c r="H39" s="100">
        <f t="shared" ref="H39:K39" si="25">-H40*AVERAGE(H121,F121)</f>
        <v>-489.89392830000003</v>
      </c>
      <c r="I39" s="100">
        <f t="shared" si="25"/>
        <v>-496.37781852749998</v>
      </c>
      <c r="J39" s="100">
        <f t="shared" si="25"/>
        <v>-421.92114574837501</v>
      </c>
      <c r="K39" s="100">
        <f t="shared" si="25"/>
        <v>-358.6329738861188</v>
      </c>
      <c r="M39" s="114" t="s">
        <v>251</v>
      </c>
      <c r="N39" s="169" t="s">
        <v>262</v>
      </c>
      <c r="O39" s="170"/>
      <c r="P39" s="170"/>
      <c r="Q39" s="170"/>
      <c r="R39" s="170"/>
      <c r="S39" s="170"/>
      <c r="T39" s="170"/>
      <c r="U39" s="170"/>
      <c r="V39" s="170"/>
      <c r="W39" s="171"/>
    </row>
    <row r="40" spans="2:23" ht="12" customHeight="1" x14ac:dyDescent="0.15">
      <c r="B40" s="80" t="s">
        <v>236</v>
      </c>
      <c r="C40" s="103">
        <v>0</v>
      </c>
      <c r="D40" s="104">
        <f>ABS(D39/AVERAGE(SUM('BS source'!J20:J21),SUM('BS source'!K20:K21)))</f>
        <v>7.7663758892458176E-2</v>
      </c>
      <c r="E40" s="104">
        <f>ABS(E39/AVERAGE(SUM('BS source'!K20:K21),SUM('BS source'!L20:L21)))</f>
        <v>8.5704614883497066E-2</v>
      </c>
      <c r="G40" s="108">
        <f>CHOOSE($C$5,G41,G42,G43)</f>
        <v>7.0000000000000007E-2</v>
      </c>
      <c r="H40" s="108">
        <f t="shared" ref="H40" si="26">CHOOSE($C$5,H41,H42,H43)</f>
        <v>7.0000000000000007E-2</v>
      </c>
      <c r="I40" s="108">
        <f t="shared" ref="I40" si="27">CHOOSE($C$5,I41,I42,I43)</f>
        <v>7.0000000000000007E-2</v>
      </c>
      <c r="J40" s="108">
        <f t="shared" ref="J40" si="28">CHOOSE($C$5,J41,J42,J43)</f>
        <v>7.0000000000000007E-2</v>
      </c>
      <c r="K40" s="108">
        <f t="shared" ref="K40" si="29">CHOOSE($C$5,K41,K42,K43)</f>
        <v>7.0000000000000007E-2</v>
      </c>
      <c r="M40" s="114" t="s">
        <v>252</v>
      </c>
      <c r="N40" s="162" t="s">
        <v>263</v>
      </c>
      <c r="O40" s="162"/>
      <c r="P40" s="162"/>
      <c r="Q40" s="162"/>
      <c r="R40" s="162"/>
      <c r="S40" s="162"/>
      <c r="T40" s="162"/>
      <c r="U40" s="162"/>
      <c r="V40" s="162"/>
      <c r="W40" s="162"/>
    </row>
    <row r="41" spans="2:23" ht="12" customHeight="1" x14ac:dyDescent="0.15">
      <c r="B41" s="9" t="s">
        <v>16</v>
      </c>
      <c r="C41" s="18"/>
      <c r="D41" s="18"/>
      <c r="E41" s="18"/>
      <c r="G41" s="63">
        <v>7.0000000000000007E-2</v>
      </c>
      <c r="H41" s="63">
        <v>7.0000000000000007E-2</v>
      </c>
      <c r="I41" s="63">
        <v>7.0000000000000007E-2</v>
      </c>
      <c r="J41" s="63">
        <v>7.0000000000000007E-2</v>
      </c>
      <c r="K41" s="63">
        <v>7.0000000000000007E-2</v>
      </c>
      <c r="M41" s="114" t="s">
        <v>253</v>
      </c>
      <c r="N41" s="162" t="s">
        <v>264</v>
      </c>
      <c r="O41" s="162"/>
      <c r="P41" s="162"/>
      <c r="Q41" s="162"/>
      <c r="R41" s="162"/>
      <c r="S41" s="162"/>
      <c r="T41" s="162"/>
      <c r="U41" s="162"/>
      <c r="V41" s="162"/>
      <c r="W41" s="162"/>
    </row>
    <row r="42" spans="2:23" ht="12" customHeight="1" x14ac:dyDescent="0.15">
      <c r="B42" s="9" t="s">
        <v>18</v>
      </c>
      <c r="C42" s="18"/>
      <c r="D42" s="18"/>
      <c r="E42" s="18"/>
      <c r="G42" s="63">
        <v>7.4999999999999997E-2</v>
      </c>
      <c r="H42" s="63">
        <v>7.4999999999999997E-2</v>
      </c>
      <c r="I42" s="63">
        <v>7.4999999999999997E-2</v>
      </c>
      <c r="J42" s="63">
        <v>7.4999999999999997E-2</v>
      </c>
      <c r="K42" s="63">
        <v>7.4999999999999997E-2</v>
      </c>
      <c r="M42" s="114" t="s">
        <v>254</v>
      </c>
      <c r="N42" s="162" t="s">
        <v>265</v>
      </c>
      <c r="O42" s="162"/>
      <c r="P42" s="162"/>
      <c r="Q42" s="162"/>
      <c r="R42" s="162"/>
      <c r="S42" s="162"/>
      <c r="T42" s="162"/>
      <c r="U42" s="162"/>
      <c r="V42" s="162"/>
      <c r="W42" s="162"/>
    </row>
    <row r="43" spans="2:23" ht="12" customHeight="1" x14ac:dyDescent="0.15">
      <c r="B43" s="9" t="s">
        <v>21</v>
      </c>
      <c r="C43" s="18"/>
      <c r="D43" s="18"/>
      <c r="E43" s="18"/>
      <c r="G43" s="63">
        <v>8.5000000000000006E-2</v>
      </c>
      <c r="H43" s="63">
        <v>8.5000000000000006E-2</v>
      </c>
      <c r="I43" s="63">
        <v>8.5000000000000006E-2</v>
      </c>
      <c r="J43" s="63">
        <v>8.5000000000000006E-2</v>
      </c>
      <c r="K43" s="63">
        <v>8.5000000000000006E-2</v>
      </c>
      <c r="M43" s="114" t="s">
        <v>255</v>
      </c>
      <c r="N43" s="162" t="s">
        <v>266</v>
      </c>
      <c r="O43" s="162"/>
      <c r="P43" s="162"/>
      <c r="Q43" s="162"/>
      <c r="R43" s="162"/>
      <c r="S43" s="162"/>
      <c r="T43" s="162"/>
      <c r="U43" s="162"/>
      <c r="V43" s="162"/>
      <c r="W43" s="162"/>
    </row>
    <row r="44" spans="2:23" ht="11" customHeight="1" x14ac:dyDescent="0.15">
      <c r="C44" s="14"/>
      <c r="D44" s="14"/>
      <c r="E44" s="14"/>
      <c r="G44" s="17"/>
      <c r="H44" s="17"/>
      <c r="I44" s="17"/>
      <c r="J44" s="17"/>
      <c r="K44" s="17"/>
      <c r="M44" s="114" t="s">
        <v>256</v>
      </c>
      <c r="N44" s="162" t="s">
        <v>267</v>
      </c>
      <c r="O44" s="162"/>
      <c r="P44" s="162"/>
      <c r="Q44" s="162"/>
      <c r="R44" s="162"/>
      <c r="S44" s="162"/>
      <c r="T44" s="162"/>
      <c r="U44" s="162"/>
      <c r="V44" s="162"/>
      <c r="W44" s="162"/>
    </row>
    <row r="45" spans="2:23" ht="12" customHeight="1" x14ac:dyDescent="0.15">
      <c r="B45" s="77" t="s">
        <v>28</v>
      </c>
      <c r="C45" s="78">
        <f>SUM('P&amp;L source'!D35:D37)</f>
        <v>344.87299999999993</v>
      </c>
      <c r="D45" s="78">
        <f>SUM('P&amp;L source'!E35:E37)</f>
        <v>1489.6769999999999</v>
      </c>
      <c r="E45" s="78">
        <f>SUM('P&amp;L source'!F35:F37)</f>
        <v>1601.9169999999999</v>
      </c>
      <c r="G45" s="102">
        <f>E45*(1+G46)</f>
        <v>1842.2045499999997</v>
      </c>
      <c r="H45" s="102">
        <f>G45*(1+H46)</f>
        <v>2118.5352324999994</v>
      </c>
      <c r="I45" s="102">
        <f>H45*(1+I46)</f>
        <v>2436.3155173749992</v>
      </c>
      <c r="J45" s="102">
        <f>I45*(1+J46)</f>
        <v>2801.7628449812487</v>
      </c>
      <c r="K45" s="102">
        <f>J45*(1+K46)</f>
        <v>3222.0272717284356</v>
      </c>
      <c r="M45" s="114" t="s">
        <v>257</v>
      </c>
      <c r="N45" s="162" t="s">
        <v>268</v>
      </c>
      <c r="O45" s="162"/>
      <c r="P45" s="162"/>
      <c r="Q45" s="162"/>
      <c r="R45" s="162"/>
      <c r="S45" s="162"/>
      <c r="T45" s="162"/>
      <c r="U45" s="162"/>
      <c r="V45" s="162"/>
      <c r="W45" s="162"/>
    </row>
    <row r="46" spans="2:23" ht="12" customHeight="1" x14ac:dyDescent="0.15">
      <c r="B46" s="80" t="s">
        <v>24</v>
      </c>
      <c r="C46" s="98">
        <v>0</v>
      </c>
      <c r="D46" s="99">
        <f>D45/C45-1</f>
        <v>3.3194944225845457</v>
      </c>
      <c r="E46" s="99">
        <f>E45/D45-1</f>
        <v>7.5345192279937301E-2</v>
      </c>
      <c r="G46" s="108">
        <f>CHOOSE($C$5,G47,G48,G49)</f>
        <v>0.15</v>
      </c>
      <c r="H46" s="108">
        <f t="shared" ref="H46" si="30">CHOOSE($C$5,H47,H48,H49)</f>
        <v>0.15</v>
      </c>
      <c r="I46" s="108">
        <f t="shared" ref="I46" si="31">CHOOSE($C$5,I47,I48,I49)</f>
        <v>0.15</v>
      </c>
      <c r="J46" s="108">
        <f t="shared" ref="J46" si="32">CHOOSE($C$5,J47,J48,J49)</f>
        <v>0.15</v>
      </c>
      <c r="K46" s="108">
        <f t="shared" ref="K46" si="33">CHOOSE($C$5,K47,K48,K49)</f>
        <v>0.15</v>
      </c>
      <c r="M46" s="114" t="s">
        <v>258</v>
      </c>
      <c r="N46" s="176" t="s">
        <v>269</v>
      </c>
      <c r="O46" s="177"/>
      <c r="P46" s="177"/>
      <c r="Q46" s="177"/>
      <c r="R46" s="177"/>
      <c r="S46" s="177"/>
      <c r="T46" s="177"/>
      <c r="U46" s="177"/>
      <c r="V46" s="177"/>
      <c r="W46" s="178"/>
    </row>
    <row r="47" spans="2:23" ht="12" customHeight="1" x14ac:dyDescent="0.15">
      <c r="B47" s="9" t="s">
        <v>16</v>
      </c>
      <c r="C47" s="18"/>
      <c r="D47" s="18"/>
      <c r="E47" s="18"/>
      <c r="G47" s="63">
        <v>0.15</v>
      </c>
      <c r="H47" s="63">
        <v>0.15</v>
      </c>
      <c r="I47" s="63">
        <v>0.15</v>
      </c>
      <c r="J47" s="63">
        <v>0.15</v>
      </c>
      <c r="K47" s="63">
        <v>0.15</v>
      </c>
      <c r="M47" s="163" t="s">
        <v>247</v>
      </c>
      <c r="N47" s="163"/>
      <c r="O47" s="163"/>
      <c r="P47" s="163"/>
      <c r="Q47" s="163"/>
      <c r="R47" s="163"/>
      <c r="S47" s="163"/>
      <c r="T47" s="163"/>
      <c r="U47" s="163"/>
      <c r="V47" s="163"/>
      <c r="W47" s="163"/>
    </row>
    <row r="48" spans="2:23" ht="12" customHeight="1" x14ac:dyDescent="0.15">
      <c r="B48" s="9" t="s">
        <v>18</v>
      </c>
      <c r="C48" s="18"/>
      <c r="D48" s="18"/>
      <c r="E48" s="18"/>
      <c r="G48" s="63">
        <v>0.1</v>
      </c>
      <c r="H48" s="63">
        <v>0.1</v>
      </c>
      <c r="I48" s="63">
        <v>0.1</v>
      </c>
      <c r="J48" s="63">
        <v>0.1</v>
      </c>
      <c r="K48" s="63">
        <v>0.1</v>
      </c>
      <c r="M48" s="114" t="s">
        <v>291</v>
      </c>
      <c r="N48" s="181" t="s">
        <v>304</v>
      </c>
      <c r="O48" s="181"/>
      <c r="P48" s="181"/>
      <c r="Q48" s="181"/>
      <c r="R48" s="181"/>
      <c r="S48" s="181"/>
      <c r="T48" s="181"/>
      <c r="U48" s="181"/>
      <c r="V48" s="181"/>
      <c r="W48" s="181"/>
    </row>
    <row r="49" spans="2:23" ht="12" customHeight="1" x14ac:dyDescent="0.15">
      <c r="B49" s="9" t="s">
        <v>21</v>
      </c>
      <c r="C49" s="18"/>
      <c r="D49" s="18"/>
      <c r="E49" s="18"/>
      <c r="G49" s="63">
        <v>0</v>
      </c>
      <c r="H49" s="63">
        <v>0</v>
      </c>
      <c r="I49" s="63">
        <v>0</v>
      </c>
      <c r="J49" s="63">
        <v>0</v>
      </c>
      <c r="K49" s="63">
        <v>0</v>
      </c>
      <c r="M49" s="114" t="s">
        <v>292</v>
      </c>
      <c r="N49" s="181" t="s">
        <v>305</v>
      </c>
      <c r="O49" s="181"/>
      <c r="P49" s="181"/>
      <c r="Q49" s="181"/>
      <c r="R49" s="181"/>
      <c r="S49" s="181"/>
      <c r="T49" s="181"/>
      <c r="U49" s="181"/>
      <c r="V49" s="181"/>
      <c r="W49" s="181"/>
    </row>
    <row r="50" spans="2:23" ht="11" customHeight="1" x14ac:dyDescent="0.15">
      <c r="C50" s="14"/>
      <c r="D50" s="14"/>
      <c r="E50" s="14"/>
      <c r="G50" s="17"/>
      <c r="H50" s="17"/>
      <c r="I50" s="17"/>
      <c r="J50" s="17"/>
      <c r="K50" s="17"/>
      <c r="M50" s="114" t="s">
        <v>293</v>
      </c>
      <c r="N50" s="181" t="s">
        <v>306</v>
      </c>
      <c r="O50" s="181"/>
      <c r="P50" s="181"/>
      <c r="Q50" s="181"/>
      <c r="R50" s="181"/>
      <c r="S50" s="181"/>
      <c r="T50" s="181"/>
      <c r="U50" s="181"/>
      <c r="V50" s="181"/>
      <c r="W50" s="181"/>
    </row>
    <row r="51" spans="2:23" x14ac:dyDescent="0.15">
      <c r="B51" s="77" t="s">
        <v>29</v>
      </c>
      <c r="C51" s="78">
        <f>'P&amp;L source'!D40</f>
        <v>-338.161</v>
      </c>
      <c r="D51" s="78">
        <f>'P&amp;L source'!E40</f>
        <v>-232.41399999999999</v>
      </c>
      <c r="E51" s="78">
        <f>'P&amp;L source'!F40</f>
        <v>-1450.7070000000001</v>
      </c>
      <c r="G51" s="100">
        <f>-G52*G60</f>
        <v>-2001.1730148319994</v>
      </c>
      <c r="H51" s="100">
        <f t="shared" ref="H51:K51" si="34">-H52*H60</f>
        <v>-2415.0584698783991</v>
      </c>
      <c r="I51" s="100">
        <f t="shared" si="34"/>
        <v>-2896.9156145586794</v>
      </c>
      <c r="J51" s="100">
        <f t="shared" si="34"/>
        <v>-3480.4520543196841</v>
      </c>
      <c r="K51" s="100">
        <f t="shared" si="34"/>
        <v>-4177.1492058846516</v>
      </c>
      <c r="M51" s="114" t="s">
        <v>294</v>
      </c>
      <c r="N51" s="180" t="s">
        <v>307</v>
      </c>
      <c r="O51" s="180"/>
      <c r="P51" s="180"/>
      <c r="Q51" s="180"/>
      <c r="R51" s="180"/>
      <c r="S51" s="180"/>
      <c r="T51" s="180"/>
      <c r="U51" s="180"/>
      <c r="V51" s="180"/>
      <c r="W51" s="180"/>
    </row>
    <row r="52" spans="2:23" x14ac:dyDescent="0.15">
      <c r="B52" s="80" t="s">
        <v>289</v>
      </c>
      <c r="C52" s="101">
        <f>ABS(C51/C60)</f>
        <v>3.989156077039465E-2</v>
      </c>
      <c r="D52" s="101">
        <f t="shared" ref="D52:E52" si="35">ABS(D51/D60)</f>
        <v>1.5430940145767123E-2</v>
      </c>
      <c r="E52" s="101">
        <f t="shared" si="35"/>
        <v>7.6757812624009283E-2</v>
      </c>
      <c r="G52" s="108">
        <f>CHOOSE($C$5,G53,G54,G55)</f>
        <v>0.08</v>
      </c>
      <c r="H52" s="108">
        <f t="shared" ref="H52" si="36">CHOOSE($C$5,H53,H54,H55)</f>
        <v>0.08</v>
      </c>
      <c r="I52" s="108">
        <f t="shared" ref="I52" si="37">CHOOSE($C$5,I53,I54,I55)</f>
        <v>0.08</v>
      </c>
      <c r="J52" s="108">
        <f t="shared" ref="J52" si="38">CHOOSE($C$5,J53,J54,J55)</f>
        <v>0.08</v>
      </c>
      <c r="K52" s="108">
        <f t="shared" ref="K52" si="39">CHOOSE($C$5,K53,K54,K55)</f>
        <v>0.08</v>
      </c>
      <c r="M52" s="114" t="s">
        <v>295</v>
      </c>
      <c r="N52" s="180" t="s">
        <v>308</v>
      </c>
      <c r="O52" s="180"/>
      <c r="P52" s="180"/>
      <c r="Q52" s="180"/>
      <c r="R52" s="180"/>
      <c r="S52" s="180"/>
      <c r="T52" s="180"/>
      <c r="U52" s="180"/>
      <c r="V52" s="180"/>
      <c r="W52" s="180"/>
    </row>
    <row r="53" spans="2:23" x14ac:dyDescent="0.15">
      <c r="B53" s="9" t="s">
        <v>16</v>
      </c>
      <c r="C53" s="18"/>
      <c r="D53" s="18"/>
      <c r="E53" s="18"/>
      <c r="G53" s="63">
        <v>0.08</v>
      </c>
      <c r="H53" s="63">
        <v>0.08</v>
      </c>
      <c r="I53" s="63">
        <v>0.08</v>
      </c>
      <c r="J53" s="63">
        <v>0.08</v>
      </c>
      <c r="K53" s="63">
        <v>0.08</v>
      </c>
      <c r="M53" s="114" t="s">
        <v>296</v>
      </c>
      <c r="N53" s="179" t="s">
        <v>309</v>
      </c>
      <c r="O53" s="179"/>
      <c r="P53" s="179"/>
      <c r="Q53" s="179"/>
      <c r="R53" s="179"/>
      <c r="S53" s="179"/>
      <c r="T53" s="179"/>
      <c r="U53" s="179"/>
      <c r="V53" s="179"/>
      <c r="W53" s="179"/>
    </row>
    <row r="54" spans="2:23" x14ac:dyDescent="0.15">
      <c r="B54" s="9" t="s">
        <v>18</v>
      </c>
      <c r="C54" s="18"/>
      <c r="D54" s="18"/>
      <c r="E54" s="18"/>
      <c r="G54" s="63">
        <v>0.1</v>
      </c>
      <c r="H54" s="63">
        <v>0.1</v>
      </c>
      <c r="I54" s="63">
        <v>0.1</v>
      </c>
      <c r="J54" s="63">
        <v>0.1</v>
      </c>
      <c r="K54" s="63">
        <v>0.1</v>
      </c>
      <c r="M54" s="114" t="s">
        <v>301</v>
      </c>
      <c r="N54" s="180" t="s">
        <v>310</v>
      </c>
      <c r="O54" s="180"/>
      <c r="P54" s="180"/>
      <c r="Q54" s="180"/>
      <c r="R54" s="180"/>
      <c r="S54" s="180"/>
      <c r="T54" s="180"/>
      <c r="U54" s="180"/>
      <c r="V54" s="180"/>
      <c r="W54" s="180"/>
    </row>
    <row r="55" spans="2:23" x14ac:dyDescent="0.15">
      <c r="B55" s="9" t="s">
        <v>21</v>
      </c>
      <c r="C55" s="18"/>
      <c r="D55" s="18"/>
      <c r="E55" s="18"/>
      <c r="G55" s="63">
        <v>0.12</v>
      </c>
      <c r="H55" s="63">
        <v>0.12</v>
      </c>
      <c r="I55" s="63">
        <v>0.12</v>
      </c>
      <c r="J55" s="63">
        <v>0.12</v>
      </c>
      <c r="K55" s="63">
        <v>0.12</v>
      </c>
      <c r="M55" s="114" t="s">
        <v>297</v>
      </c>
      <c r="N55" s="161" t="s">
        <v>311</v>
      </c>
      <c r="O55" s="161"/>
      <c r="P55" s="161"/>
      <c r="Q55" s="161"/>
      <c r="R55" s="161"/>
      <c r="S55" s="161"/>
      <c r="T55" s="161"/>
      <c r="U55" s="161"/>
      <c r="V55" s="161"/>
      <c r="W55" s="161"/>
    </row>
    <row r="56" spans="2:23" x14ac:dyDescent="0.15">
      <c r="M56" s="114" t="s">
        <v>298</v>
      </c>
      <c r="N56" s="161" t="s">
        <v>312</v>
      </c>
      <c r="O56" s="161"/>
      <c r="P56" s="161"/>
      <c r="Q56" s="161"/>
      <c r="R56" s="161"/>
      <c r="S56" s="161"/>
      <c r="T56" s="161"/>
      <c r="U56" s="161"/>
      <c r="V56" s="161"/>
      <c r="W56" s="161"/>
    </row>
    <row r="57" spans="2:23" x14ac:dyDescent="0.15">
      <c r="M57" s="114" t="s">
        <v>299</v>
      </c>
      <c r="N57" s="161" t="s">
        <v>313</v>
      </c>
      <c r="O57" s="161"/>
      <c r="P57" s="161"/>
      <c r="Q57" s="161"/>
      <c r="R57" s="161"/>
      <c r="S57" s="161"/>
      <c r="T57" s="161"/>
      <c r="U57" s="161"/>
      <c r="V57" s="161"/>
      <c r="W57" s="161"/>
    </row>
    <row r="58" spans="2:23" x14ac:dyDescent="0.15">
      <c r="B58" s="106" t="s">
        <v>116</v>
      </c>
      <c r="C58" s="116">
        <f>C9+C15</f>
        <v>12587.313999999998</v>
      </c>
      <c r="D58" s="116">
        <f t="shared" ref="D58:K58" si="40">D9+D15</f>
        <v>16865.321</v>
      </c>
      <c r="E58" s="116">
        <f t="shared" si="40"/>
        <v>20380.559999999998</v>
      </c>
      <c r="F58" s="116"/>
      <c r="G58" s="116">
        <f t="shared" si="40"/>
        <v>25563.542399999995</v>
      </c>
      <c r="H58" s="116">
        <f t="shared" si="40"/>
        <v>30676.250879999992</v>
      </c>
      <c r="I58" s="116">
        <f t="shared" si="40"/>
        <v>36811.501055999994</v>
      </c>
      <c r="J58" s="116">
        <f t="shared" si="40"/>
        <v>44173.801267199982</v>
      </c>
      <c r="K58" s="117">
        <f t="shared" si="40"/>
        <v>53008.561520639974</v>
      </c>
      <c r="M58" s="114" t="s">
        <v>300</v>
      </c>
      <c r="N58" s="161" t="s">
        <v>314</v>
      </c>
      <c r="O58" s="161"/>
      <c r="P58" s="161"/>
      <c r="Q58" s="161"/>
      <c r="R58" s="161"/>
      <c r="S58" s="161"/>
      <c r="T58" s="161"/>
      <c r="U58" s="161"/>
      <c r="V58" s="161"/>
      <c r="W58" s="161"/>
    </row>
    <row r="59" spans="2:23" x14ac:dyDescent="0.15">
      <c r="B59" s="118" t="s">
        <v>36</v>
      </c>
      <c r="C59" s="9">
        <f>C58+C21+C27</f>
        <v>8056.1929999999975</v>
      </c>
      <c r="D59" s="9">
        <f t="shared" ref="D59:K59" si="41">D58+D21+D27</f>
        <v>13007.781000000001</v>
      </c>
      <c r="E59" s="9">
        <f t="shared" si="41"/>
        <v>16136.338999999998</v>
      </c>
      <c r="G59" s="9">
        <f>G58+G21+G27</f>
        <v>20876.892959999994</v>
      </c>
      <c r="H59" s="9">
        <f t="shared" si="41"/>
        <v>25052.271551999991</v>
      </c>
      <c r="I59" s="9">
        <f t="shared" si="41"/>
        <v>30062.725862399995</v>
      </c>
      <c r="J59" s="9">
        <f t="shared" si="41"/>
        <v>36075.271034879981</v>
      </c>
      <c r="K59" s="119">
        <f t="shared" si="41"/>
        <v>43290.325241855979</v>
      </c>
      <c r="M59" s="163" t="s">
        <v>248</v>
      </c>
      <c r="N59" s="163"/>
      <c r="O59" s="163"/>
      <c r="P59" s="163"/>
      <c r="Q59" s="163"/>
      <c r="R59" s="163"/>
      <c r="S59" s="163"/>
      <c r="T59" s="163"/>
      <c r="U59" s="163"/>
      <c r="V59" s="163"/>
      <c r="W59" s="163"/>
    </row>
    <row r="60" spans="2:23" x14ac:dyDescent="0.15">
      <c r="B60" s="118" t="s">
        <v>37</v>
      </c>
      <c r="C60" s="9">
        <f>C59+C33+C39+C45</f>
        <v>8477.0059999999976</v>
      </c>
      <c r="D60" s="9">
        <f t="shared" ref="D60:K60" si="42">D59+D33+D39+D45</f>
        <v>15061.558000000001</v>
      </c>
      <c r="E60" s="9">
        <f t="shared" si="42"/>
        <v>18899.795999999998</v>
      </c>
      <c r="G60" s="9">
        <f>G59+G33+G39+G45</f>
        <v>25014.662685399991</v>
      </c>
      <c r="H60" s="9">
        <f t="shared" si="42"/>
        <v>30188.230873479988</v>
      </c>
      <c r="I60" s="9">
        <f t="shared" si="42"/>
        <v>36211.445181983494</v>
      </c>
      <c r="J60" s="9">
        <f t="shared" si="42"/>
        <v>43505.650678996048</v>
      </c>
      <c r="K60" s="119">
        <f t="shared" si="42"/>
        <v>52214.36507355814</v>
      </c>
      <c r="M60" s="110" t="s">
        <v>345</v>
      </c>
      <c r="N60" s="172" t="s">
        <v>348</v>
      </c>
      <c r="O60" s="173"/>
      <c r="P60" s="173"/>
      <c r="Q60" s="173"/>
      <c r="R60" s="173"/>
      <c r="S60" s="173"/>
      <c r="T60" s="173"/>
      <c r="U60" s="173"/>
      <c r="V60" s="173"/>
      <c r="W60" s="174"/>
    </row>
    <row r="61" spans="2:23" x14ac:dyDescent="0.15">
      <c r="B61" s="105" t="s">
        <v>97</v>
      </c>
      <c r="C61" s="120">
        <f>C60+C51</f>
        <v>8138.8449999999975</v>
      </c>
      <c r="D61" s="120">
        <f t="shared" ref="D61:K61" si="43">D60+D51</f>
        <v>14829.144</v>
      </c>
      <c r="E61" s="120">
        <f t="shared" si="43"/>
        <v>17449.089</v>
      </c>
      <c r="F61" s="120"/>
      <c r="G61" s="120">
        <f t="shared" si="43"/>
        <v>23013.489670567993</v>
      </c>
      <c r="H61" s="120">
        <f t="shared" si="43"/>
        <v>27773.172403601588</v>
      </c>
      <c r="I61" s="120">
        <f t="shared" si="43"/>
        <v>33314.529567424812</v>
      </c>
      <c r="J61" s="120">
        <f t="shared" si="43"/>
        <v>40025.198624676363</v>
      </c>
      <c r="K61" s="121">
        <f t="shared" si="43"/>
        <v>48037.215867673491</v>
      </c>
      <c r="M61" s="113" t="s">
        <v>346</v>
      </c>
      <c r="N61" s="172" t="s">
        <v>349</v>
      </c>
      <c r="O61" s="173"/>
      <c r="P61" s="173"/>
      <c r="Q61" s="173"/>
      <c r="R61" s="173"/>
      <c r="S61" s="173"/>
      <c r="T61" s="173"/>
      <c r="U61" s="173"/>
      <c r="V61" s="173"/>
      <c r="W61" s="174"/>
    </row>
    <row r="62" spans="2:23" x14ac:dyDescent="0.15">
      <c r="M62" s="113" t="s">
        <v>347</v>
      </c>
      <c r="N62" s="175" t="s">
        <v>350</v>
      </c>
      <c r="O62" s="175"/>
      <c r="P62" s="175"/>
      <c r="Q62" s="175"/>
      <c r="R62" s="175"/>
      <c r="S62" s="175"/>
      <c r="T62" s="175"/>
      <c r="U62" s="175"/>
      <c r="V62" s="175"/>
      <c r="W62" s="175"/>
    </row>
    <row r="63" spans="2:23" x14ac:dyDescent="0.15">
      <c r="B63" s="107"/>
      <c r="C63" s="12"/>
      <c r="D63" s="12"/>
      <c r="E63" s="12"/>
    </row>
    <row r="64" spans="2:23" ht="16" x14ac:dyDescent="0.2">
      <c r="B64" s="128" t="s">
        <v>5</v>
      </c>
      <c r="C64" s="116"/>
      <c r="D64" s="116"/>
      <c r="E64" s="116"/>
      <c r="F64" s="116"/>
      <c r="G64" s="116"/>
      <c r="H64" s="116"/>
      <c r="I64" s="116"/>
      <c r="J64" s="116"/>
      <c r="K64" s="116"/>
    </row>
    <row r="65" spans="2:16" x14ac:dyDescent="0.15">
      <c r="B65" s="9" t="s">
        <v>104</v>
      </c>
    </row>
    <row r="66" spans="2:16" ht="27" thickBot="1" x14ac:dyDescent="0.2">
      <c r="B66" s="86" t="s">
        <v>105</v>
      </c>
      <c r="C66" s="11" t="s">
        <v>237</v>
      </c>
      <c r="D66" s="11" t="s">
        <v>238</v>
      </c>
      <c r="E66" s="11" t="s">
        <v>239</v>
      </c>
      <c r="F66" s="12"/>
      <c r="G66" s="13" t="s">
        <v>240</v>
      </c>
      <c r="H66" s="13" t="s">
        <v>241</v>
      </c>
      <c r="I66" s="13" t="s">
        <v>242</v>
      </c>
      <c r="J66" s="13" t="s">
        <v>243</v>
      </c>
      <c r="K66" s="13" t="s">
        <v>244</v>
      </c>
    </row>
    <row r="67" spans="2:16" x14ac:dyDescent="0.15">
      <c r="B67" s="77" t="s">
        <v>135</v>
      </c>
      <c r="C67" s="78">
        <f>'BS source'!D5</f>
        <v>22218.35</v>
      </c>
      <c r="D67" s="78">
        <f>'BS source'!E5</f>
        <v>17255.07</v>
      </c>
      <c r="E67" s="78">
        <f>'BS source'!F5</f>
        <v>15484.276</v>
      </c>
      <c r="F67" s="77"/>
      <c r="G67" s="100">
        <f>G68*(G9/365)</f>
        <v>17509.275616438354</v>
      </c>
      <c r="H67" s="100">
        <f t="shared" ref="H67:K67" si="44">H68*(H9/365)</f>
        <v>21011.130739726021</v>
      </c>
      <c r="I67" s="100">
        <f t="shared" si="44"/>
        <v>25213.356887671223</v>
      </c>
      <c r="J67" s="100">
        <f t="shared" si="44"/>
        <v>30256.02826520547</v>
      </c>
      <c r="K67" s="100">
        <f t="shared" si="44"/>
        <v>36307.233918246566</v>
      </c>
    </row>
    <row r="68" spans="2:16" x14ac:dyDescent="0.15">
      <c r="B68" s="20" t="s">
        <v>281</v>
      </c>
      <c r="C68" s="20">
        <f>C67/C9*365</f>
        <v>325.35520403580659</v>
      </c>
      <c r="D68" s="20">
        <f>D67/D9*365</f>
        <v>235.44458671330923</v>
      </c>
      <c r="E68" s="20">
        <f>E67/E9*365</f>
        <v>159.18246654266508</v>
      </c>
      <c r="G68" s="130">
        <f>CHOOSE($C$5,G69,G70,G71)</f>
        <v>150</v>
      </c>
      <c r="H68" s="130">
        <f t="shared" ref="H68:K68" si="45">CHOOSE($C$5,H69,H70,H71)</f>
        <v>150</v>
      </c>
      <c r="I68" s="130">
        <f t="shared" si="45"/>
        <v>150</v>
      </c>
      <c r="J68" s="130">
        <f t="shared" si="45"/>
        <v>150</v>
      </c>
      <c r="K68" s="130">
        <f t="shared" si="45"/>
        <v>150</v>
      </c>
      <c r="M68" s="20"/>
      <c r="N68" s="20"/>
      <c r="O68" s="20"/>
      <c r="P68" s="20"/>
    </row>
    <row r="69" spans="2:16" x14ac:dyDescent="0.15">
      <c r="B69" s="9" t="s">
        <v>16</v>
      </c>
      <c r="C69" s="18"/>
      <c r="D69" s="18"/>
      <c r="E69" s="18"/>
      <c r="G69" s="129">
        <v>150</v>
      </c>
      <c r="H69" s="129">
        <v>150</v>
      </c>
      <c r="I69" s="129">
        <v>150</v>
      </c>
      <c r="J69" s="129">
        <v>150</v>
      </c>
      <c r="K69" s="129">
        <v>150</v>
      </c>
      <c r="M69" s="77"/>
      <c r="N69" s="78"/>
      <c r="O69" s="78"/>
      <c r="P69" s="78"/>
    </row>
    <row r="70" spans="2:16" x14ac:dyDescent="0.15">
      <c r="B70" s="9" t="s">
        <v>18</v>
      </c>
      <c r="C70" s="18"/>
      <c r="D70" s="18"/>
      <c r="E70" s="18"/>
      <c r="G70" s="129">
        <v>180</v>
      </c>
      <c r="H70" s="129">
        <v>180</v>
      </c>
      <c r="I70" s="129">
        <v>180</v>
      </c>
      <c r="J70" s="129">
        <v>180</v>
      </c>
      <c r="K70" s="129">
        <v>180</v>
      </c>
      <c r="M70" s="20"/>
      <c r="N70" s="20"/>
      <c r="O70" s="20"/>
      <c r="P70" s="20"/>
    </row>
    <row r="71" spans="2:16" x14ac:dyDescent="0.15">
      <c r="B71" s="9" t="s">
        <v>21</v>
      </c>
      <c r="C71" s="18"/>
      <c r="D71" s="18"/>
      <c r="E71" s="18"/>
      <c r="G71" s="129">
        <v>210</v>
      </c>
      <c r="H71" s="129">
        <v>210</v>
      </c>
      <c r="I71" s="129">
        <v>210</v>
      </c>
      <c r="J71" s="129">
        <v>210</v>
      </c>
      <c r="K71" s="129">
        <v>210</v>
      </c>
      <c r="M71" s="77"/>
      <c r="N71" s="78"/>
      <c r="O71" s="78"/>
      <c r="P71" s="78"/>
    </row>
    <row r="72" spans="2:16" x14ac:dyDescent="0.15">
      <c r="G72" s="21"/>
      <c r="H72" s="21"/>
      <c r="I72" s="21"/>
      <c r="J72" s="21"/>
      <c r="K72" s="21"/>
      <c r="M72" s="20"/>
      <c r="N72" s="126"/>
      <c r="O72" s="126"/>
      <c r="P72" s="126"/>
    </row>
    <row r="73" spans="2:16" x14ac:dyDescent="0.15">
      <c r="B73" s="77" t="s">
        <v>283</v>
      </c>
      <c r="C73" s="78">
        <f>'BS source'!D7</f>
        <v>42240.59</v>
      </c>
      <c r="D73" s="78">
        <f>'BS source'!E7</f>
        <v>40997.599999999999</v>
      </c>
      <c r="E73" s="78">
        <f>'BS source'!F7</f>
        <v>45096.264000000003</v>
      </c>
      <c r="F73" s="77"/>
      <c r="G73" s="100">
        <f>ABS(G74*(G15/365))</f>
        <v>44356.831561643834</v>
      </c>
      <c r="H73" s="100">
        <f t="shared" ref="H73:K73" si="46">ABS(H74*(H15/365))</f>
        <v>53228.197873972596</v>
      </c>
      <c r="I73" s="100">
        <f t="shared" si="46"/>
        <v>63873.837448767117</v>
      </c>
      <c r="J73" s="100">
        <f t="shared" si="46"/>
        <v>76648.604938520526</v>
      </c>
      <c r="K73" s="100">
        <f t="shared" si="46"/>
        <v>91978.325926224643</v>
      </c>
      <c r="M73" s="77"/>
      <c r="N73" s="78"/>
      <c r="O73" s="78"/>
      <c r="P73" s="78"/>
    </row>
    <row r="74" spans="2:16" x14ac:dyDescent="0.15">
      <c r="B74" s="20" t="s">
        <v>284</v>
      </c>
      <c r="C74" s="20">
        <f>ABS(C73/C15*365)</f>
        <v>1249.5838466376406</v>
      </c>
      <c r="D74" s="20">
        <f>ABS(D73/D15*365)</f>
        <v>1513.8979209874044</v>
      </c>
      <c r="E74" s="20">
        <f>ABS(E73/E15*365)</f>
        <v>1088.3195295536475</v>
      </c>
      <c r="G74" s="130">
        <f>CHOOSE($C$5,G75,G76,G77)</f>
        <v>950</v>
      </c>
      <c r="H74" s="130">
        <f t="shared" ref="H74:K74" si="47">CHOOSE($C$5,H75,H76,H77)</f>
        <v>950</v>
      </c>
      <c r="I74" s="130">
        <f t="shared" si="47"/>
        <v>950</v>
      </c>
      <c r="J74" s="130">
        <f t="shared" si="47"/>
        <v>950</v>
      </c>
      <c r="K74" s="130">
        <f t="shared" si="47"/>
        <v>950</v>
      </c>
      <c r="M74" s="80"/>
      <c r="N74" s="98"/>
      <c r="O74" s="127"/>
      <c r="P74" s="127"/>
    </row>
    <row r="75" spans="2:16" x14ac:dyDescent="0.15">
      <c r="B75" s="9" t="s">
        <v>16</v>
      </c>
      <c r="C75" s="18"/>
      <c r="D75" s="18"/>
      <c r="E75" s="18"/>
      <c r="G75" s="129">
        <v>950</v>
      </c>
      <c r="H75" s="129">
        <v>950</v>
      </c>
      <c r="I75" s="129">
        <v>950</v>
      </c>
      <c r="J75" s="129">
        <v>950</v>
      </c>
      <c r="K75" s="129">
        <v>950</v>
      </c>
      <c r="M75" s="77"/>
      <c r="N75" s="78"/>
      <c r="O75" s="78"/>
      <c r="P75" s="78"/>
    </row>
    <row r="76" spans="2:16" x14ac:dyDescent="0.15">
      <c r="B76" s="9" t="s">
        <v>18</v>
      </c>
      <c r="C76" s="18"/>
      <c r="D76" s="18"/>
      <c r="E76" s="18"/>
      <c r="G76" s="129">
        <v>1050</v>
      </c>
      <c r="H76" s="129">
        <v>1050</v>
      </c>
      <c r="I76" s="129">
        <v>1050</v>
      </c>
      <c r="J76" s="129">
        <v>1050</v>
      </c>
      <c r="K76" s="129">
        <v>1050</v>
      </c>
      <c r="M76" s="20"/>
      <c r="N76" s="126"/>
      <c r="O76" s="126"/>
      <c r="P76" s="126"/>
    </row>
    <row r="77" spans="2:16" x14ac:dyDescent="0.15">
      <c r="B77" s="9" t="s">
        <v>21</v>
      </c>
      <c r="C77" s="18"/>
      <c r="D77" s="18"/>
      <c r="E77" s="18"/>
      <c r="G77" s="129">
        <v>1150</v>
      </c>
      <c r="H77" s="129">
        <v>1150</v>
      </c>
      <c r="I77" s="129">
        <v>1150</v>
      </c>
      <c r="J77" s="129">
        <v>1150</v>
      </c>
      <c r="K77" s="129">
        <v>1150</v>
      </c>
      <c r="M77" s="77"/>
      <c r="N77" s="78"/>
      <c r="O77" s="78"/>
      <c r="P77" s="78"/>
    </row>
    <row r="78" spans="2:16" x14ac:dyDescent="0.15">
      <c r="G78" s="21"/>
      <c r="H78" s="21"/>
      <c r="I78" s="21"/>
      <c r="J78" s="21"/>
      <c r="K78" s="21"/>
      <c r="M78" s="20"/>
      <c r="N78" s="20"/>
      <c r="O78" s="20"/>
      <c r="P78" s="20"/>
    </row>
    <row r="79" spans="2:16" x14ac:dyDescent="0.15">
      <c r="B79" s="77" t="s">
        <v>274</v>
      </c>
      <c r="C79" s="78">
        <f>SUM('BS source'!D14,'BS source'!D15)</f>
        <v>32572.137999999999</v>
      </c>
      <c r="D79" s="78">
        <f>SUM('BS source'!E14,'BS source'!E15)</f>
        <v>30984.447</v>
      </c>
      <c r="E79" s="78">
        <f>SUM('BS source'!F14,'BS source'!F15)</f>
        <v>30327.111000000001</v>
      </c>
      <c r="F79" s="77"/>
      <c r="G79" s="100">
        <f>G80*G9</f>
        <v>34084.7232</v>
      </c>
      <c r="H79" s="100">
        <f t="shared" ref="H79:K79" si="48">H80*H9</f>
        <v>40901.667839999995</v>
      </c>
      <c r="I79" s="100">
        <f t="shared" si="48"/>
        <v>49082.001407999989</v>
      </c>
      <c r="J79" s="100">
        <f t="shared" si="48"/>
        <v>58898.401689599981</v>
      </c>
      <c r="K79" s="100">
        <f t="shared" si="48"/>
        <v>70678.08202751998</v>
      </c>
      <c r="M79" s="77"/>
      <c r="N79" s="78"/>
      <c r="O79" s="78"/>
      <c r="P79" s="78"/>
    </row>
    <row r="80" spans="2:16" x14ac:dyDescent="0.15">
      <c r="B80" s="20" t="s">
        <v>31</v>
      </c>
      <c r="C80" s="22">
        <f>C79/C9</f>
        <v>1.3067706012683951</v>
      </c>
      <c r="D80" s="22">
        <f>D79/D9</f>
        <v>1.1583048350117933</v>
      </c>
      <c r="E80" s="22">
        <f>E79/E9</f>
        <v>0.85416643665159653</v>
      </c>
      <c r="G80" s="131">
        <f>CHOOSE($C$5,G81,G82,G83)</f>
        <v>0.8</v>
      </c>
      <c r="H80" s="131">
        <f t="shared" ref="H80:K80" si="49">CHOOSE($C$5,H81,H82,H83)</f>
        <v>0.8</v>
      </c>
      <c r="I80" s="131">
        <f t="shared" si="49"/>
        <v>0.8</v>
      </c>
      <c r="J80" s="131">
        <f t="shared" si="49"/>
        <v>0.8</v>
      </c>
      <c r="K80" s="131">
        <f t="shared" si="49"/>
        <v>0.8</v>
      </c>
      <c r="M80" s="80"/>
      <c r="N80" s="98"/>
      <c r="O80" s="98"/>
      <c r="P80" s="98"/>
    </row>
    <row r="81" spans="2:16" x14ac:dyDescent="0.15">
      <c r="B81" s="9" t="s">
        <v>16</v>
      </c>
      <c r="C81" s="18"/>
      <c r="D81" s="18"/>
      <c r="E81" s="18"/>
      <c r="G81" s="17">
        <v>0.8</v>
      </c>
      <c r="H81" s="17">
        <v>0.8</v>
      </c>
      <c r="I81" s="17">
        <v>0.8</v>
      </c>
      <c r="J81" s="17">
        <v>0.8</v>
      </c>
      <c r="K81" s="17">
        <v>0.8</v>
      </c>
      <c r="M81" s="77"/>
      <c r="N81" s="78"/>
      <c r="O81" s="78"/>
      <c r="P81" s="78"/>
    </row>
    <row r="82" spans="2:16" x14ac:dyDescent="0.15">
      <c r="B82" s="9" t="s">
        <v>18</v>
      </c>
      <c r="C82" s="18"/>
      <c r="D82" s="18"/>
      <c r="E82" s="18"/>
      <c r="G82" s="17">
        <v>0.9</v>
      </c>
      <c r="H82" s="17">
        <v>0.9</v>
      </c>
      <c r="I82" s="17">
        <v>0.9</v>
      </c>
      <c r="J82" s="17">
        <v>0.9</v>
      </c>
      <c r="K82" s="17">
        <v>0.9</v>
      </c>
      <c r="M82" s="20"/>
      <c r="N82" s="126"/>
      <c r="O82" s="126"/>
      <c r="P82" s="126"/>
    </row>
    <row r="83" spans="2:16" x14ac:dyDescent="0.15">
      <c r="B83" s="9" t="s">
        <v>21</v>
      </c>
      <c r="C83" s="18"/>
      <c r="D83" s="18"/>
      <c r="E83" s="18"/>
      <c r="G83" s="17">
        <v>1</v>
      </c>
      <c r="H83" s="17">
        <v>1</v>
      </c>
      <c r="I83" s="17">
        <v>1</v>
      </c>
      <c r="J83" s="17">
        <v>1</v>
      </c>
      <c r="K83" s="17">
        <v>1</v>
      </c>
      <c r="M83" s="77"/>
      <c r="N83" s="78"/>
      <c r="O83" s="78"/>
      <c r="P83" s="78"/>
    </row>
    <row r="84" spans="2:16" x14ac:dyDescent="0.15">
      <c r="G84" s="21"/>
      <c r="H84" s="21"/>
      <c r="I84" s="21"/>
      <c r="J84" s="21"/>
      <c r="K84" s="21"/>
      <c r="M84" s="20"/>
      <c r="N84" s="126"/>
      <c r="O84" s="126"/>
      <c r="P84" s="126"/>
    </row>
    <row r="85" spans="2:16" x14ac:dyDescent="0.15">
      <c r="B85" s="77" t="s">
        <v>285</v>
      </c>
      <c r="C85" s="78">
        <f>SUM('BS source'!D11:D13,'BS source'!D16,'BS source'!D17)</f>
        <v>10247.821000000002</v>
      </c>
      <c r="D85" s="78">
        <f>SUM('BS source'!E11:E13,'BS source'!E16,'BS source'!E17)</f>
        <v>9540.1229999999996</v>
      </c>
      <c r="E85" s="78">
        <f>SUM('BS source'!F11:F13,'BS source'!F16,'BS source'!F17)</f>
        <v>9206.9979999999996</v>
      </c>
      <c r="F85" s="77"/>
      <c r="G85" s="100">
        <f>E85*(1+G86)</f>
        <v>9667.3479000000007</v>
      </c>
      <c r="H85" s="100">
        <f>G85*(1+H86)</f>
        <v>10150.715295000002</v>
      </c>
      <c r="I85" s="100">
        <f>H85*(1+I86)</f>
        <v>10658.251059750002</v>
      </c>
      <c r="J85" s="100">
        <f>I85*(1+J86)</f>
        <v>11191.163612737502</v>
      </c>
      <c r="K85" s="100">
        <f>J85*(1+K86)</f>
        <v>11750.721793374378</v>
      </c>
      <c r="M85" s="77"/>
      <c r="N85" s="78"/>
      <c r="O85" s="78"/>
      <c r="P85" s="78"/>
    </row>
    <row r="86" spans="2:16" x14ac:dyDescent="0.15">
      <c r="B86" s="80" t="s">
        <v>24</v>
      </c>
      <c r="C86" s="98">
        <v>0</v>
      </c>
      <c r="D86" s="99">
        <f>D85/C85-1</f>
        <v>-6.9058388119777048E-2</v>
      </c>
      <c r="E86" s="99">
        <f>E85/D85-1</f>
        <v>-3.4918312898062243E-2</v>
      </c>
      <c r="G86" s="131">
        <f>CHOOSE($C$5,G87,G88,G89)</f>
        <v>0.05</v>
      </c>
      <c r="H86" s="131">
        <f t="shared" ref="H86:K86" si="50">CHOOSE($C$5,H87,H88,H89)</f>
        <v>0.05</v>
      </c>
      <c r="I86" s="131">
        <f t="shared" si="50"/>
        <v>0.05</v>
      </c>
      <c r="J86" s="131">
        <f t="shared" si="50"/>
        <v>0.05</v>
      </c>
      <c r="K86" s="131">
        <f t="shared" si="50"/>
        <v>0.05</v>
      </c>
      <c r="M86" s="80"/>
      <c r="N86" s="98"/>
      <c r="O86" s="127"/>
      <c r="P86" s="127"/>
    </row>
    <row r="87" spans="2:16" x14ac:dyDescent="0.15">
      <c r="B87" s="9" t="s">
        <v>16</v>
      </c>
      <c r="C87" s="18"/>
      <c r="D87" s="18"/>
      <c r="E87" s="18"/>
      <c r="G87" s="17">
        <v>0.05</v>
      </c>
      <c r="H87" s="17">
        <v>0.05</v>
      </c>
      <c r="I87" s="17">
        <v>0.05</v>
      </c>
      <c r="J87" s="17">
        <v>0.05</v>
      </c>
      <c r="K87" s="17">
        <v>0.05</v>
      </c>
      <c r="M87" s="77"/>
      <c r="N87" s="78"/>
      <c r="O87" s="78"/>
      <c r="P87" s="78"/>
    </row>
    <row r="88" spans="2:16" x14ac:dyDescent="0.15">
      <c r="B88" s="9" t="s">
        <v>18</v>
      </c>
      <c r="C88" s="18"/>
      <c r="D88" s="18"/>
      <c r="E88" s="18"/>
      <c r="G88" s="17">
        <v>0.02</v>
      </c>
      <c r="H88" s="17">
        <v>0.02</v>
      </c>
      <c r="I88" s="17">
        <v>0.02</v>
      </c>
      <c r="J88" s="17">
        <v>0.02</v>
      </c>
      <c r="K88" s="17">
        <v>0.02</v>
      </c>
      <c r="M88" s="80"/>
      <c r="N88" s="126"/>
      <c r="O88" s="126"/>
      <c r="P88" s="126"/>
    </row>
    <row r="89" spans="2:16" x14ac:dyDescent="0.15">
      <c r="B89" s="9" t="s">
        <v>21</v>
      </c>
      <c r="C89" s="18"/>
      <c r="D89" s="18"/>
      <c r="E89" s="18"/>
      <c r="G89" s="17">
        <v>0</v>
      </c>
      <c r="H89" s="17">
        <v>0</v>
      </c>
      <c r="I89" s="17">
        <v>0</v>
      </c>
      <c r="J89" s="17">
        <v>0</v>
      </c>
      <c r="K89" s="17">
        <v>0</v>
      </c>
    </row>
    <row r="90" spans="2:16" x14ac:dyDescent="0.15">
      <c r="G90" s="21"/>
      <c r="H90" s="21"/>
      <c r="I90" s="21"/>
      <c r="J90" s="21"/>
      <c r="K90" s="21"/>
    </row>
    <row r="91" spans="2:16" x14ac:dyDescent="0.15">
      <c r="B91" s="77" t="s">
        <v>32</v>
      </c>
      <c r="C91" s="78">
        <f>SUM('BS source'!D6,'BS source'!D8)</f>
        <v>6796.0490000000009</v>
      </c>
      <c r="D91" s="78">
        <f>SUM('BS source'!E6,'BS source'!E8)</f>
        <v>6765.0829999999996</v>
      </c>
      <c r="E91" s="78">
        <f>SUM('BS source'!F6,'BS source'!F8)</f>
        <v>10051.527</v>
      </c>
      <c r="F91" s="77"/>
      <c r="G91" s="100">
        <f>G92*G9</f>
        <v>11077.535039999999</v>
      </c>
      <c r="H91" s="100">
        <f t="shared" ref="H91:K91" si="51">H92*H9</f>
        <v>13293.042047999998</v>
      </c>
      <c r="I91" s="100">
        <f t="shared" si="51"/>
        <v>15951.650457599997</v>
      </c>
      <c r="J91" s="100">
        <f t="shared" si="51"/>
        <v>19141.980549119995</v>
      </c>
      <c r="K91" s="100">
        <f t="shared" si="51"/>
        <v>22970.376658943991</v>
      </c>
    </row>
    <row r="92" spans="2:16" x14ac:dyDescent="0.15">
      <c r="B92" s="20" t="s">
        <v>31</v>
      </c>
      <c r="C92" s="22">
        <f>C91/C9</f>
        <v>0.27265256698775731</v>
      </c>
      <c r="D92" s="22">
        <f>D91/D9</f>
        <v>0.25290199138154978</v>
      </c>
      <c r="E92" s="22">
        <f>E91/E9</f>
        <v>0.28310237003772998</v>
      </c>
      <c r="G92" s="131">
        <f>CHOOSE($C$5,G93,G94,G95)</f>
        <v>0.26</v>
      </c>
      <c r="H92" s="131">
        <f t="shared" ref="H92:K92" si="52">CHOOSE($C$5,H93,H94,H95)</f>
        <v>0.26</v>
      </c>
      <c r="I92" s="131">
        <f t="shared" si="52"/>
        <v>0.26</v>
      </c>
      <c r="J92" s="131">
        <f t="shared" si="52"/>
        <v>0.26</v>
      </c>
      <c r="K92" s="131">
        <f t="shared" si="52"/>
        <v>0.26</v>
      </c>
    </row>
    <row r="93" spans="2:16" x14ac:dyDescent="0.15">
      <c r="B93" s="9" t="s">
        <v>16</v>
      </c>
      <c r="C93" s="18"/>
      <c r="D93" s="18"/>
      <c r="E93" s="18"/>
      <c r="G93" s="17">
        <v>0.26</v>
      </c>
      <c r="H93" s="17">
        <v>0.26</v>
      </c>
      <c r="I93" s="17">
        <v>0.26</v>
      </c>
      <c r="J93" s="17">
        <v>0.26</v>
      </c>
      <c r="K93" s="17">
        <v>0.26</v>
      </c>
    </row>
    <row r="94" spans="2:16" x14ac:dyDescent="0.15">
      <c r="B94" s="9" t="s">
        <v>18</v>
      </c>
      <c r="C94" s="18"/>
      <c r="D94" s="18"/>
      <c r="E94" s="18"/>
      <c r="G94" s="17">
        <v>0.27</v>
      </c>
      <c r="H94" s="17">
        <v>0.27</v>
      </c>
      <c r="I94" s="17">
        <v>0.27</v>
      </c>
      <c r="J94" s="17">
        <v>0.27</v>
      </c>
      <c r="K94" s="17">
        <v>0.27</v>
      </c>
    </row>
    <row r="95" spans="2:16" x14ac:dyDescent="0.15">
      <c r="B95" s="9" t="s">
        <v>21</v>
      </c>
      <c r="C95" s="18"/>
      <c r="D95" s="18"/>
      <c r="E95" s="18"/>
      <c r="G95" s="17">
        <v>0.28999999999999998</v>
      </c>
      <c r="H95" s="17">
        <v>0.28999999999999998</v>
      </c>
      <c r="I95" s="17">
        <v>0.28999999999999998</v>
      </c>
      <c r="J95" s="17">
        <v>0.28999999999999998</v>
      </c>
      <c r="K95" s="17">
        <v>0.28999999999999998</v>
      </c>
    </row>
    <row r="96" spans="2:16" x14ac:dyDescent="0.15">
      <c r="G96" s="21"/>
      <c r="H96" s="21"/>
      <c r="I96" s="21"/>
      <c r="J96" s="21"/>
      <c r="K96" s="21"/>
    </row>
    <row r="97" spans="2:11" x14ac:dyDescent="0.15">
      <c r="B97" s="77" t="s">
        <v>143</v>
      </c>
      <c r="C97" s="78">
        <f>'BS source'!J12</f>
        <v>19659.763999999999</v>
      </c>
      <c r="D97" s="78">
        <f>'BS source'!K12</f>
        <v>14737.47</v>
      </c>
      <c r="E97" s="78">
        <f>'BS source'!L12</f>
        <v>17570.830000000002</v>
      </c>
      <c r="F97" s="77"/>
      <c r="G97" s="100">
        <f>ABS(G98*(G15/365))</f>
        <v>23345.70082191781</v>
      </c>
      <c r="H97" s="100">
        <f t="shared" ref="H97:K97" si="53">ABS(H98*(H15/365))</f>
        <v>28014.840986301366</v>
      </c>
      <c r="I97" s="100">
        <f t="shared" si="53"/>
        <v>33617.809183561643</v>
      </c>
      <c r="J97" s="100">
        <f t="shared" si="53"/>
        <v>40341.37102027396</v>
      </c>
      <c r="K97" s="100">
        <f t="shared" si="53"/>
        <v>48409.645224328757</v>
      </c>
    </row>
    <row r="98" spans="2:11" x14ac:dyDescent="0.15">
      <c r="B98" s="20" t="s">
        <v>282</v>
      </c>
      <c r="C98" s="20">
        <f>ABS(C97/C15*365)</f>
        <v>581.58570993227613</v>
      </c>
      <c r="D98" s="20">
        <f>ABS(D97/D15*365)</f>
        <v>544.20320198290244</v>
      </c>
      <c r="E98" s="20">
        <f>ABS(E97/E15*365)</f>
        <v>424.04127844087293</v>
      </c>
      <c r="G98" s="130">
        <f>CHOOSE($C$5,G99,G100,G101)</f>
        <v>500</v>
      </c>
      <c r="H98" s="130">
        <f t="shared" ref="H98:K98" si="54">CHOOSE($C$5,H99,H100,H101)</f>
        <v>500</v>
      </c>
      <c r="I98" s="130">
        <f t="shared" si="54"/>
        <v>500</v>
      </c>
      <c r="J98" s="130">
        <f t="shared" si="54"/>
        <v>500</v>
      </c>
      <c r="K98" s="130">
        <f t="shared" si="54"/>
        <v>500</v>
      </c>
    </row>
    <row r="99" spans="2:11" x14ac:dyDescent="0.15">
      <c r="B99" s="9" t="s">
        <v>16</v>
      </c>
      <c r="C99" s="18"/>
      <c r="D99" s="18"/>
      <c r="E99" s="18"/>
      <c r="G99" s="129">
        <v>500</v>
      </c>
      <c r="H99" s="129">
        <v>500</v>
      </c>
      <c r="I99" s="129">
        <v>500</v>
      </c>
      <c r="J99" s="129">
        <v>500</v>
      </c>
      <c r="K99" s="129">
        <v>500</v>
      </c>
    </row>
    <row r="100" spans="2:11" x14ac:dyDescent="0.15">
      <c r="B100" s="9" t="s">
        <v>18</v>
      </c>
      <c r="C100" s="18"/>
      <c r="D100" s="18"/>
      <c r="E100" s="18"/>
      <c r="G100" s="129">
        <v>450</v>
      </c>
      <c r="H100" s="129">
        <v>450</v>
      </c>
      <c r="I100" s="129">
        <v>450</v>
      </c>
      <c r="J100" s="129">
        <v>450</v>
      </c>
      <c r="K100" s="129">
        <v>450</v>
      </c>
    </row>
    <row r="101" spans="2:11" x14ac:dyDescent="0.15">
      <c r="B101" s="9" t="s">
        <v>21</v>
      </c>
      <c r="C101" s="18"/>
      <c r="D101" s="18"/>
      <c r="E101" s="18"/>
      <c r="G101" s="129">
        <v>400</v>
      </c>
      <c r="H101" s="129">
        <v>400</v>
      </c>
      <c r="I101" s="129">
        <v>400</v>
      </c>
      <c r="J101" s="129">
        <v>400</v>
      </c>
      <c r="K101" s="129">
        <v>400</v>
      </c>
    </row>
    <row r="102" spans="2:11" x14ac:dyDescent="0.15">
      <c r="G102" s="21"/>
      <c r="H102" s="21"/>
      <c r="I102" s="21"/>
      <c r="J102" s="21"/>
      <c r="K102" s="21"/>
    </row>
    <row r="103" spans="2:11" x14ac:dyDescent="0.15">
      <c r="B103" s="77" t="s">
        <v>288</v>
      </c>
      <c r="C103" s="78">
        <f>'BS source'!J15</f>
        <v>0</v>
      </c>
      <c r="D103" s="78">
        <f>'BS source'!K15</f>
        <v>238.268</v>
      </c>
      <c r="E103" s="78">
        <f>'BS source'!L15</f>
        <v>1237.8399999999999</v>
      </c>
      <c r="F103" s="77"/>
      <c r="G103" s="100">
        <f>$E$103</f>
        <v>1237.8399999999999</v>
      </c>
      <c r="H103" s="100">
        <f t="shared" ref="H103:K103" si="55">$E$103</f>
        <v>1237.8399999999999</v>
      </c>
      <c r="I103" s="100">
        <f t="shared" si="55"/>
        <v>1237.8399999999999</v>
      </c>
      <c r="J103" s="100">
        <f t="shared" si="55"/>
        <v>1237.8399999999999</v>
      </c>
      <c r="K103" s="100">
        <f t="shared" si="55"/>
        <v>1237.8399999999999</v>
      </c>
    </row>
    <row r="104" spans="2:11" x14ac:dyDescent="0.15">
      <c r="B104" s="80" t="s">
        <v>302</v>
      </c>
      <c r="C104" s="98">
        <v>0</v>
      </c>
      <c r="D104" s="98">
        <v>0</v>
      </c>
      <c r="E104" s="98">
        <v>0</v>
      </c>
      <c r="G104" s="108">
        <f>CHOOSE($C$5,G105,G106,G107)</f>
        <v>0</v>
      </c>
      <c r="H104" s="108">
        <f t="shared" ref="H104:K104" si="56">CHOOSE($C$5,H105,H106,H107)</f>
        <v>0</v>
      </c>
      <c r="I104" s="108">
        <f t="shared" si="56"/>
        <v>0</v>
      </c>
      <c r="J104" s="108">
        <f t="shared" si="56"/>
        <v>0</v>
      </c>
      <c r="K104" s="108">
        <f t="shared" si="56"/>
        <v>0</v>
      </c>
    </row>
    <row r="105" spans="2:11" x14ac:dyDescent="0.15">
      <c r="B105" s="9" t="s">
        <v>16</v>
      </c>
      <c r="C105" s="18"/>
      <c r="D105" s="18"/>
      <c r="E105" s="18"/>
      <c r="G105" s="63">
        <v>0</v>
      </c>
      <c r="H105" s="63">
        <v>0</v>
      </c>
      <c r="I105" s="63">
        <v>0</v>
      </c>
      <c r="J105" s="63">
        <v>0</v>
      </c>
      <c r="K105" s="63">
        <v>0</v>
      </c>
    </row>
    <row r="106" spans="2:11" x14ac:dyDescent="0.15">
      <c r="B106" s="9" t="s">
        <v>18</v>
      </c>
      <c r="C106" s="18"/>
      <c r="D106" s="18"/>
      <c r="E106" s="18"/>
      <c r="G106" s="63">
        <v>0</v>
      </c>
      <c r="H106" s="63">
        <v>0</v>
      </c>
      <c r="I106" s="63">
        <v>0</v>
      </c>
      <c r="J106" s="63">
        <v>0</v>
      </c>
      <c r="K106" s="63">
        <v>0</v>
      </c>
    </row>
    <row r="107" spans="2:11" x14ac:dyDescent="0.15">
      <c r="B107" s="9" t="s">
        <v>21</v>
      </c>
      <c r="C107" s="18"/>
      <c r="D107" s="18"/>
      <c r="E107" s="18"/>
      <c r="G107" s="63">
        <v>0</v>
      </c>
      <c r="H107" s="63">
        <v>0</v>
      </c>
      <c r="I107" s="63">
        <v>0</v>
      </c>
      <c r="J107" s="63">
        <v>0</v>
      </c>
      <c r="K107" s="63">
        <v>0</v>
      </c>
    </row>
    <row r="108" spans="2:11" x14ac:dyDescent="0.15">
      <c r="G108" s="21"/>
      <c r="H108" s="21"/>
      <c r="I108" s="21"/>
      <c r="J108" s="21"/>
      <c r="K108" s="21"/>
    </row>
    <row r="109" spans="2:11" x14ac:dyDescent="0.15">
      <c r="B109" s="77" t="s">
        <v>150</v>
      </c>
      <c r="C109" s="78">
        <f>'BS source'!J16</f>
        <v>1620.54</v>
      </c>
      <c r="D109" s="78">
        <f>'BS source'!K16</f>
        <v>1531.6010000000001</v>
      </c>
      <c r="E109" s="78">
        <f>'BS source'!L16</f>
        <v>1834.7</v>
      </c>
      <c r="F109" s="77"/>
      <c r="G109" s="100">
        <f>G110*G73</f>
        <v>1996.0574202739724</v>
      </c>
      <c r="H109" s="100">
        <f t="shared" ref="H109:K109" si="57">H110*H73</f>
        <v>2395.2689043287669</v>
      </c>
      <c r="I109" s="100">
        <f t="shared" si="57"/>
        <v>2874.3226851945201</v>
      </c>
      <c r="J109" s="100">
        <f t="shared" si="57"/>
        <v>3449.1872222334237</v>
      </c>
      <c r="K109" s="100">
        <f t="shared" si="57"/>
        <v>4139.0246666801086</v>
      </c>
    </row>
    <row r="110" spans="2:11" x14ac:dyDescent="0.15">
      <c r="B110" s="20" t="s">
        <v>290</v>
      </c>
      <c r="C110" s="22">
        <f>C109/C73</f>
        <v>3.8364520950109837E-2</v>
      </c>
      <c r="D110" s="22">
        <f t="shared" ref="D110:E110" si="58">D109/D73</f>
        <v>3.7358308779050484E-2</v>
      </c>
      <c r="E110" s="22">
        <f t="shared" si="58"/>
        <v>4.0684079727757491E-2</v>
      </c>
      <c r="G110" s="108">
        <f>CHOOSE($C$5,G111,G112,G113)</f>
        <v>4.4999999999999998E-2</v>
      </c>
      <c r="H110" s="108">
        <f t="shared" ref="H110:K110" si="59">CHOOSE($C$5,H111,H112,H113)</f>
        <v>4.4999999999999998E-2</v>
      </c>
      <c r="I110" s="108">
        <f t="shared" si="59"/>
        <v>4.4999999999999998E-2</v>
      </c>
      <c r="J110" s="108">
        <f t="shared" si="59"/>
        <v>4.4999999999999998E-2</v>
      </c>
      <c r="K110" s="108">
        <f t="shared" si="59"/>
        <v>4.4999999999999998E-2</v>
      </c>
    </row>
    <row r="111" spans="2:11" x14ac:dyDescent="0.15">
      <c r="B111" s="9" t="s">
        <v>16</v>
      </c>
      <c r="C111" s="18"/>
      <c r="D111" s="18"/>
      <c r="E111" s="18"/>
      <c r="G111" s="63">
        <v>4.4999999999999998E-2</v>
      </c>
      <c r="H111" s="63">
        <v>4.4999999999999998E-2</v>
      </c>
      <c r="I111" s="63">
        <v>4.4999999999999998E-2</v>
      </c>
      <c r="J111" s="63">
        <v>4.4999999999999998E-2</v>
      </c>
      <c r="K111" s="63">
        <v>4.4999999999999998E-2</v>
      </c>
    </row>
    <row r="112" spans="2:11" x14ac:dyDescent="0.15">
      <c r="B112" s="9" t="s">
        <v>18</v>
      </c>
      <c r="C112" s="18"/>
      <c r="D112" s="18"/>
      <c r="E112" s="18"/>
      <c r="G112" s="63">
        <v>0.04</v>
      </c>
      <c r="H112" s="63">
        <v>0.04</v>
      </c>
      <c r="I112" s="63">
        <v>0.04</v>
      </c>
      <c r="J112" s="63">
        <v>0.04</v>
      </c>
      <c r="K112" s="63">
        <v>0.04</v>
      </c>
    </row>
    <row r="113" spans="2:11" x14ac:dyDescent="0.15">
      <c r="B113" s="9" t="s">
        <v>21</v>
      </c>
      <c r="C113" s="18"/>
      <c r="D113" s="18"/>
      <c r="E113" s="18"/>
      <c r="G113" s="63">
        <v>3.5000000000000003E-2</v>
      </c>
      <c r="H113" s="63">
        <v>3.5000000000000003E-2</v>
      </c>
      <c r="I113" s="63">
        <v>3.5000000000000003E-2</v>
      </c>
      <c r="J113" s="63">
        <v>3.5000000000000003E-2</v>
      </c>
      <c r="K113" s="63">
        <v>3.5000000000000003E-2</v>
      </c>
    </row>
    <row r="114" spans="2:11" x14ac:dyDescent="0.15">
      <c r="G114" s="21"/>
      <c r="H114" s="21"/>
      <c r="I114" s="21"/>
      <c r="J114" s="21"/>
      <c r="K114" s="21"/>
    </row>
    <row r="115" spans="2:11" x14ac:dyDescent="0.15">
      <c r="B115" s="77" t="s">
        <v>286</v>
      </c>
      <c r="C115" s="78">
        <f>'BS source'!J13</f>
        <v>19563.73</v>
      </c>
      <c r="D115" s="78">
        <f>'BS source'!K13</f>
        <v>22857.576000000001</v>
      </c>
      <c r="E115" s="78">
        <f>'BS source'!L13</f>
        <v>32495.29</v>
      </c>
      <c r="F115" s="77"/>
      <c r="G115" s="100">
        <f>G116*G9</f>
        <v>39197.431679999994</v>
      </c>
      <c r="H115" s="100">
        <f t="shared" ref="H115:K115" si="60">H116*H9</f>
        <v>47036.918015999996</v>
      </c>
      <c r="I115" s="100">
        <f t="shared" si="60"/>
        <v>56444.301619199985</v>
      </c>
      <c r="J115" s="100">
        <f t="shared" si="60"/>
        <v>67733.161943039973</v>
      </c>
      <c r="K115" s="100">
        <f t="shared" si="60"/>
        <v>81279.794331647965</v>
      </c>
    </row>
    <row r="116" spans="2:11" x14ac:dyDescent="0.15">
      <c r="B116" s="20" t="s">
        <v>31</v>
      </c>
      <c r="C116" s="22">
        <f>C115/C9</f>
        <v>0.78488268762561852</v>
      </c>
      <c r="D116" s="22">
        <f>D115/D9</f>
        <v>0.85449454035598971</v>
      </c>
      <c r="E116" s="22">
        <f>E115/E9</f>
        <v>0.91523343806999147</v>
      </c>
      <c r="G116" s="131">
        <f>CHOOSE($C$5,G117,G118,G119)</f>
        <v>0.92</v>
      </c>
      <c r="H116" s="131">
        <f t="shared" ref="H116:K116" si="61">CHOOSE($C$5,H117,H118,H119)</f>
        <v>0.92</v>
      </c>
      <c r="I116" s="131">
        <f t="shared" si="61"/>
        <v>0.92</v>
      </c>
      <c r="J116" s="131">
        <f t="shared" si="61"/>
        <v>0.92</v>
      </c>
      <c r="K116" s="131">
        <f t="shared" si="61"/>
        <v>0.92</v>
      </c>
    </row>
    <row r="117" spans="2:11" x14ac:dyDescent="0.15">
      <c r="B117" s="9" t="s">
        <v>16</v>
      </c>
      <c r="C117" s="18"/>
      <c r="D117" s="18"/>
      <c r="E117" s="18"/>
      <c r="G117" s="17">
        <v>0.92</v>
      </c>
      <c r="H117" s="17">
        <v>0.92</v>
      </c>
      <c r="I117" s="17">
        <v>0.92</v>
      </c>
      <c r="J117" s="17">
        <v>0.92</v>
      </c>
      <c r="K117" s="17">
        <v>0.92</v>
      </c>
    </row>
    <row r="118" spans="2:11" x14ac:dyDescent="0.15">
      <c r="B118" s="9" t="s">
        <v>18</v>
      </c>
      <c r="C118" s="18"/>
      <c r="D118" s="18"/>
      <c r="E118" s="18"/>
      <c r="G118" s="17">
        <v>0.88</v>
      </c>
      <c r="H118" s="17">
        <v>0.88</v>
      </c>
      <c r="I118" s="17">
        <v>0.88</v>
      </c>
      <c r="J118" s="17">
        <v>0.88</v>
      </c>
      <c r="K118" s="17">
        <v>0.88</v>
      </c>
    </row>
    <row r="119" spans="2:11" x14ac:dyDescent="0.15">
      <c r="B119" s="9" t="s">
        <v>21</v>
      </c>
      <c r="C119" s="18"/>
      <c r="D119" s="18"/>
      <c r="E119" s="18"/>
      <c r="G119" s="17">
        <v>0.75</v>
      </c>
      <c r="H119" s="17">
        <v>0.75</v>
      </c>
      <c r="I119" s="17">
        <v>0.75</v>
      </c>
      <c r="J119" s="17">
        <v>0.75</v>
      </c>
      <c r="K119" s="17">
        <v>0.75</v>
      </c>
    </row>
    <row r="120" spans="2:11" x14ac:dyDescent="0.15">
      <c r="G120" s="21"/>
      <c r="H120" s="21"/>
      <c r="I120" s="21"/>
      <c r="J120" s="21"/>
      <c r="K120" s="21"/>
    </row>
    <row r="121" spans="2:11" x14ac:dyDescent="0.15">
      <c r="B121" s="77" t="s">
        <v>287</v>
      </c>
      <c r="C121" s="78">
        <f>SUM('BS source'!J20:J21)</f>
        <v>14497.91</v>
      </c>
      <c r="D121" s="78">
        <f>SUM('BS source'!K20:K21)</f>
        <v>12270.56</v>
      </c>
      <c r="E121" s="78">
        <f>SUM('BS source'!L20:L21)</f>
        <v>9686.4840000000004</v>
      </c>
      <c r="F121" s="77"/>
      <c r="G121" s="100">
        <f>E121*(1+G122)</f>
        <v>8233.5113999999994</v>
      </c>
      <c r="H121" s="100">
        <f>G121*(1+H122)</f>
        <v>6998.4846899999993</v>
      </c>
      <c r="I121" s="100">
        <f>H121*(1+I122)</f>
        <v>5948.7119864999995</v>
      </c>
      <c r="J121" s="100">
        <f>I121*(1+J122)</f>
        <v>5056.4051885249992</v>
      </c>
      <c r="K121" s="100">
        <f>J121*(1+K122)</f>
        <v>4297.9444102462494</v>
      </c>
    </row>
    <row r="122" spans="2:11" x14ac:dyDescent="0.15">
      <c r="B122" s="80" t="s">
        <v>24</v>
      </c>
      <c r="C122" s="98">
        <v>0</v>
      </c>
      <c r="D122" s="99">
        <f>D121/C121-1</f>
        <v>-0.15363248909670435</v>
      </c>
      <c r="E122" s="99">
        <f>E121/D121-1</f>
        <v>-0.21059152964493877</v>
      </c>
      <c r="G122" s="131">
        <f>CHOOSE($C$5,G123,G124,G125)</f>
        <v>-0.15</v>
      </c>
      <c r="H122" s="131">
        <f t="shared" ref="H122:K122" si="62">CHOOSE($C$5,H123,H124,H125)</f>
        <v>-0.15</v>
      </c>
      <c r="I122" s="131">
        <f t="shared" si="62"/>
        <v>-0.15</v>
      </c>
      <c r="J122" s="131">
        <f t="shared" si="62"/>
        <v>-0.15</v>
      </c>
      <c r="K122" s="131">
        <f t="shared" si="62"/>
        <v>-0.15</v>
      </c>
    </row>
    <row r="123" spans="2:11" x14ac:dyDescent="0.15">
      <c r="B123" s="9" t="s">
        <v>16</v>
      </c>
      <c r="C123" s="18"/>
      <c r="D123" s="18"/>
      <c r="E123" s="18"/>
      <c r="G123" s="17">
        <v>-0.15</v>
      </c>
      <c r="H123" s="17">
        <v>-0.15</v>
      </c>
      <c r="I123" s="17">
        <v>-0.15</v>
      </c>
      <c r="J123" s="17">
        <v>-0.15</v>
      </c>
      <c r="K123" s="17">
        <v>-0.15</v>
      </c>
    </row>
    <row r="124" spans="2:11" x14ac:dyDescent="0.15">
      <c r="B124" s="9" t="s">
        <v>18</v>
      </c>
      <c r="C124" s="18"/>
      <c r="D124" s="18"/>
      <c r="E124" s="18"/>
      <c r="G124" s="17">
        <v>-0.1</v>
      </c>
      <c r="H124" s="17">
        <v>-0.1</v>
      </c>
      <c r="I124" s="17">
        <v>-0.1</v>
      </c>
      <c r="J124" s="17">
        <v>-0.1</v>
      </c>
      <c r="K124" s="17">
        <v>-0.1</v>
      </c>
    </row>
    <row r="125" spans="2:11" x14ac:dyDescent="0.15">
      <c r="B125" s="9" t="s">
        <v>21</v>
      </c>
      <c r="C125" s="18"/>
      <c r="D125" s="18"/>
      <c r="E125" s="18"/>
      <c r="G125" s="17">
        <v>0</v>
      </c>
      <c r="H125" s="17">
        <v>0</v>
      </c>
      <c r="I125" s="17">
        <v>0</v>
      </c>
      <c r="J125" s="17">
        <v>0</v>
      </c>
      <c r="K125" s="17">
        <v>0</v>
      </c>
    </row>
    <row r="126" spans="2:11" x14ac:dyDescent="0.15">
      <c r="G126" s="21"/>
      <c r="H126" s="21"/>
      <c r="I126" s="21"/>
      <c r="J126" s="21"/>
      <c r="K126" s="21"/>
    </row>
    <row r="127" spans="2:11" x14ac:dyDescent="0.15">
      <c r="B127" s="77" t="s">
        <v>33</v>
      </c>
      <c r="C127" s="78">
        <f>SUM('BS source'!J14,'BS source'!J19,'BS source'!J22)</f>
        <v>1596.1</v>
      </c>
      <c r="D127" s="78">
        <f>SUM('BS source'!K14,'BS source'!K19,'BS source'!K22)</f>
        <v>930.73500000000001</v>
      </c>
      <c r="E127" s="78">
        <f>SUM('BS source'!L14,'BS source'!L19,'BS source'!L22)</f>
        <v>1327.194</v>
      </c>
      <c r="F127" s="77"/>
      <c r="G127" s="100">
        <f>G128*G60</f>
        <v>1751.0263879779995</v>
      </c>
      <c r="H127" s="100">
        <f t="shared" ref="H127:K127" si="63">H128*H60</f>
        <v>2113.1761611435995</v>
      </c>
      <c r="I127" s="100">
        <f t="shared" si="63"/>
        <v>2534.8011627388446</v>
      </c>
      <c r="J127" s="100">
        <f t="shared" si="63"/>
        <v>3045.3955475297234</v>
      </c>
      <c r="K127" s="100">
        <f t="shared" si="63"/>
        <v>3655.00555514907</v>
      </c>
    </row>
    <row r="128" spans="2:11" x14ac:dyDescent="0.15">
      <c r="B128" s="80" t="s">
        <v>289</v>
      </c>
      <c r="C128" s="22">
        <f>C127/C60</f>
        <v>0.18828581694999394</v>
      </c>
      <c r="D128" s="22">
        <f>D127/D60</f>
        <v>6.1795399918122676E-2</v>
      </c>
      <c r="E128" s="22">
        <f>E127/E60</f>
        <v>7.0222662720803977E-2</v>
      </c>
      <c r="G128" s="131">
        <f>CHOOSE($C$5,G129,G130,G131)</f>
        <v>7.0000000000000007E-2</v>
      </c>
      <c r="H128" s="131">
        <f t="shared" ref="H128:K128" si="64">CHOOSE($C$5,H129,H130,H131)</f>
        <v>7.0000000000000007E-2</v>
      </c>
      <c r="I128" s="131">
        <f t="shared" si="64"/>
        <v>7.0000000000000007E-2</v>
      </c>
      <c r="J128" s="131">
        <f t="shared" si="64"/>
        <v>7.0000000000000007E-2</v>
      </c>
      <c r="K128" s="131">
        <f t="shared" si="64"/>
        <v>7.0000000000000007E-2</v>
      </c>
    </row>
    <row r="129" spans="2:11" x14ac:dyDescent="0.15">
      <c r="B129" s="9" t="s">
        <v>16</v>
      </c>
      <c r="C129" s="18"/>
      <c r="D129" s="18"/>
      <c r="E129" s="18"/>
      <c r="G129" s="17">
        <v>7.0000000000000007E-2</v>
      </c>
      <c r="H129" s="17">
        <v>7.0000000000000007E-2</v>
      </c>
      <c r="I129" s="17">
        <v>7.0000000000000007E-2</v>
      </c>
      <c r="J129" s="17">
        <v>7.0000000000000007E-2</v>
      </c>
      <c r="K129" s="17">
        <v>7.0000000000000007E-2</v>
      </c>
    </row>
    <row r="130" spans="2:11" x14ac:dyDescent="0.15">
      <c r="B130" s="9" t="s">
        <v>18</v>
      </c>
      <c r="C130" s="18"/>
      <c r="D130" s="18"/>
      <c r="E130" s="18"/>
      <c r="G130" s="17">
        <v>0.08</v>
      </c>
      <c r="H130" s="17">
        <v>0.08</v>
      </c>
      <c r="I130" s="17">
        <v>0.08</v>
      </c>
      <c r="J130" s="17">
        <v>0.08</v>
      </c>
      <c r="K130" s="17">
        <v>0.08</v>
      </c>
    </row>
    <row r="131" spans="2:11" x14ac:dyDescent="0.15">
      <c r="B131" s="9" t="s">
        <v>21</v>
      </c>
      <c r="C131" s="18"/>
      <c r="D131" s="18"/>
      <c r="E131" s="18"/>
      <c r="G131" s="17">
        <v>0.1</v>
      </c>
      <c r="H131" s="17">
        <v>0.1</v>
      </c>
      <c r="I131" s="17">
        <v>0.1</v>
      </c>
      <c r="J131" s="17">
        <v>0.1</v>
      </c>
      <c r="K131" s="17">
        <v>0.1</v>
      </c>
    </row>
    <row r="135" spans="2:11" ht="16" x14ac:dyDescent="0.2">
      <c r="B135" s="128" t="s">
        <v>315</v>
      </c>
      <c r="C135" s="116"/>
      <c r="D135" s="116"/>
      <c r="E135" s="116"/>
      <c r="F135" s="116"/>
      <c r="G135" s="116"/>
      <c r="H135" s="116"/>
      <c r="I135" s="116"/>
      <c r="J135" s="116"/>
      <c r="K135" s="116"/>
    </row>
    <row r="136" spans="2:11" x14ac:dyDescent="0.15">
      <c r="B136" s="9" t="s">
        <v>104</v>
      </c>
    </row>
    <row r="138" spans="2:11" ht="27" thickBot="1" x14ac:dyDescent="0.2">
      <c r="B138" s="86" t="s">
        <v>105</v>
      </c>
      <c r="C138" s="11" t="s">
        <v>237</v>
      </c>
      <c r="D138" s="11" t="s">
        <v>238</v>
      </c>
      <c r="E138" s="11" t="s">
        <v>239</v>
      </c>
      <c r="F138" s="12"/>
      <c r="G138" s="13" t="s">
        <v>240</v>
      </c>
      <c r="H138" s="13" t="s">
        <v>241</v>
      </c>
      <c r="I138" s="13" t="s">
        <v>242</v>
      </c>
      <c r="J138" s="13" t="s">
        <v>243</v>
      </c>
      <c r="K138" s="13" t="s">
        <v>244</v>
      </c>
    </row>
    <row r="139" spans="2:11" x14ac:dyDescent="0.15">
      <c r="B139" s="77" t="s">
        <v>339</v>
      </c>
      <c r="C139" s="78">
        <f>'CF source'!D37+'CF source'!D39</f>
        <v>-1403.19</v>
      </c>
      <c r="D139" s="78">
        <f>'CF source'!E37+'CF source'!E39</f>
        <v>-1172.9630000000002</v>
      </c>
      <c r="E139" s="78">
        <f>'CF source'!F37+'CF source'!F39</f>
        <v>-1280.569</v>
      </c>
      <c r="F139" s="77"/>
      <c r="G139" s="100">
        <f>E139*(1+G140)</f>
        <v>-1325.3889149999998</v>
      </c>
      <c r="H139" s="100">
        <f>G139*(1+H140)</f>
        <v>-1371.7775270249997</v>
      </c>
      <c r="I139" s="100">
        <f>H139*(1+I140)</f>
        <v>-1419.7897404708747</v>
      </c>
      <c r="J139" s="100">
        <f>I139*(1+J140)</f>
        <v>-1469.4823813873552</v>
      </c>
      <c r="K139" s="100">
        <f>J139*(1+K140)</f>
        <v>-1520.9142647359124</v>
      </c>
    </row>
    <row r="140" spans="2:11" x14ac:dyDescent="0.15">
      <c r="B140" s="20" t="s">
        <v>31</v>
      </c>
      <c r="C140" s="22">
        <f>ABS(C139/C9)</f>
        <v>5.6294967189252337E-2</v>
      </c>
      <c r="D140" s="22">
        <f t="shared" ref="D140:E140" si="65">ABS(D139/D9)</f>
        <v>4.3849377534152481E-2</v>
      </c>
      <c r="E140" s="22">
        <f t="shared" si="65"/>
        <v>3.6067367564833266E-2</v>
      </c>
      <c r="G140" s="108">
        <f>CHOOSE($C$5,G141,G142,G143)</f>
        <v>3.5000000000000003E-2</v>
      </c>
      <c r="H140" s="108">
        <f t="shared" ref="H140:K140" si="66">CHOOSE($C$5,H141,H142,H143)</f>
        <v>3.5000000000000003E-2</v>
      </c>
      <c r="I140" s="108">
        <f t="shared" si="66"/>
        <v>3.5000000000000003E-2</v>
      </c>
      <c r="J140" s="108">
        <f t="shared" si="66"/>
        <v>3.5000000000000003E-2</v>
      </c>
      <c r="K140" s="108">
        <f t="shared" si="66"/>
        <v>3.5000000000000003E-2</v>
      </c>
    </row>
    <row r="141" spans="2:11" x14ac:dyDescent="0.15">
      <c r="B141" s="9" t="s">
        <v>16</v>
      </c>
      <c r="C141" s="18"/>
      <c r="D141" s="18"/>
      <c r="E141" s="18"/>
      <c r="G141" s="63">
        <v>3.5000000000000003E-2</v>
      </c>
      <c r="H141" s="63">
        <v>3.5000000000000003E-2</v>
      </c>
      <c r="I141" s="63">
        <v>3.5000000000000003E-2</v>
      </c>
      <c r="J141" s="63">
        <v>3.5000000000000003E-2</v>
      </c>
      <c r="K141" s="63">
        <v>3.5000000000000003E-2</v>
      </c>
    </row>
    <row r="142" spans="2:11" x14ac:dyDescent="0.15">
      <c r="B142" s="9" t="s">
        <v>18</v>
      </c>
      <c r="C142" s="18"/>
      <c r="D142" s="18"/>
      <c r="E142" s="18"/>
      <c r="G142" s="63">
        <v>4.4999999999999998E-2</v>
      </c>
      <c r="H142" s="63">
        <v>4.4999999999999998E-2</v>
      </c>
      <c r="I142" s="63">
        <v>4.4999999999999998E-2</v>
      </c>
      <c r="J142" s="63">
        <v>4.4999999999999998E-2</v>
      </c>
      <c r="K142" s="63">
        <v>4.4999999999999998E-2</v>
      </c>
    </row>
    <row r="143" spans="2:11" x14ac:dyDescent="0.15">
      <c r="B143" s="9" t="s">
        <v>21</v>
      </c>
      <c r="C143" s="18"/>
      <c r="D143" s="18"/>
      <c r="E143" s="18"/>
      <c r="G143" s="63">
        <v>5.5E-2</v>
      </c>
      <c r="H143" s="63">
        <v>5.5E-2</v>
      </c>
      <c r="I143" s="63">
        <v>5.5E-2</v>
      </c>
      <c r="J143" s="63">
        <v>5.5E-2</v>
      </c>
      <c r="K143" s="63">
        <v>5.5E-2</v>
      </c>
    </row>
    <row r="145" spans="2:11" x14ac:dyDescent="0.15">
      <c r="B145" s="77" t="s">
        <v>332</v>
      </c>
      <c r="C145" s="78">
        <f>'CF source'!D51</f>
        <v>-1831.961</v>
      </c>
      <c r="D145" s="78">
        <f>'CF source'!E51</f>
        <v>-2906.877</v>
      </c>
      <c r="E145" s="78">
        <f>'CF source'!F51</f>
        <v>-7289.4110000000001</v>
      </c>
      <c r="F145" s="77"/>
      <c r="G145" s="100">
        <f>-G146*G61</f>
        <v>-9205.3958682271968</v>
      </c>
      <c r="H145" s="100">
        <f t="shared" ref="H145:K145" si="67">-H146*H61</f>
        <v>-11109.268961440635</v>
      </c>
      <c r="I145" s="100">
        <f t="shared" si="67"/>
        <v>-13325.811826969926</v>
      </c>
      <c r="J145" s="100">
        <f t="shared" si="67"/>
        <v>-16010.079449870545</v>
      </c>
      <c r="K145" s="100">
        <f t="shared" si="67"/>
        <v>-19214.886347069398</v>
      </c>
    </row>
    <row r="146" spans="2:11" x14ac:dyDescent="0.15">
      <c r="B146" s="80" t="s">
        <v>342</v>
      </c>
      <c r="C146" s="22">
        <f>ABS(C145/C61)</f>
        <v>0.22508857214997957</v>
      </c>
      <c r="D146" s="22">
        <f>ABS(D145/D61)</f>
        <v>0.19602459858775395</v>
      </c>
      <c r="E146" s="22">
        <f>ABS(E145/E61)</f>
        <v>0.41775309874343586</v>
      </c>
      <c r="G146" s="131">
        <f>CHOOSE($C$5,G147,G148,G149)</f>
        <v>0.4</v>
      </c>
      <c r="H146" s="131">
        <f t="shared" ref="H146:K146" si="68">CHOOSE($C$5,H147,H148,H149)</f>
        <v>0.4</v>
      </c>
      <c r="I146" s="131">
        <f t="shared" si="68"/>
        <v>0.4</v>
      </c>
      <c r="J146" s="131">
        <f t="shared" si="68"/>
        <v>0.4</v>
      </c>
      <c r="K146" s="131">
        <f t="shared" si="68"/>
        <v>0.4</v>
      </c>
    </row>
    <row r="147" spans="2:11" x14ac:dyDescent="0.15">
      <c r="B147" s="9" t="s">
        <v>16</v>
      </c>
      <c r="C147" s="18"/>
      <c r="D147" s="18"/>
      <c r="E147" s="18"/>
      <c r="G147" s="17">
        <v>0.4</v>
      </c>
      <c r="H147" s="17">
        <v>0.4</v>
      </c>
      <c r="I147" s="17">
        <v>0.4</v>
      </c>
      <c r="J147" s="17">
        <v>0.4</v>
      </c>
      <c r="K147" s="17">
        <v>0.4</v>
      </c>
    </row>
    <row r="148" spans="2:11" x14ac:dyDescent="0.15">
      <c r="B148" s="9" t="s">
        <v>18</v>
      </c>
      <c r="C148" s="18"/>
      <c r="D148" s="18"/>
      <c r="E148" s="18"/>
      <c r="G148" s="17">
        <v>0.3</v>
      </c>
      <c r="H148" s="17">
        <v>0.3</v>
      </c>
      <c r="I148" s="17">
        <v>0.3</v>
      </c>
      <c r="J148" s="17">
        <v>0.3</v>
      </c>
      <c r="K148" s="17">
        <v>0.3</v>
      </c>
    </row>
    <row r="149" spans="2:11" x14ac:dyDescent="0.15">
      <c r="B149" s="9" t="s">
        <v>21</v>
      </c>
      <c r="C149" s="18"/>
      <c r="D149" s="18"/>
      <c r="E149" s="18"/>
      <c r="G149" s="17">
        <v>0.15</v>
      </c>
      <c r="H149" s="17">
        <v>0.15</v>
      </c>
      <c r="I149" s="17">
        <v>0.15</v>
      </c>
      <c r="J149" s="17">
        <v>0.15</v>
      </c>
      <c r="K149" s="17">
        <v>0.15</v>
      </c>
    </row>
    <row r="151" spans="2:11" x14ac:dyDescent="0.15">
      <c r="B151" s="77" t="s">
        <v>333</v>
      </c>
      <c r="C151" s="78">
        <f>SUM('CF source'!D53,'CF source'!D55:D57)</f>
        <v>-184.36199999999999</v>
      </c>
      <c r="D151" s="78">
        <f>SUM('CF source'!E53,'CF source'!E55:E57)</f>
        <v>-171.511</v>
      </c>
      <c r="E151" s="78">
        <f>SUM('CF source'!F53,'CF source'!F55:F57)</f>
        <v>-770.1579999999999</v>
      </c>
      <c r="F151" s="77"/>
      <c r="G151" s="100">
        <f>G152</f>
        <v>-150</v>
      </c>
      <c r="H151" s="100">
        <f t="shared" ref="H151:K151" si="69">H152</f>
        <v>-150</v>
      </c>
      <c r="I151" s="100">
        <f t="shared" si="69"/>
        <v>-150</v>
      </c>
      <c r="J151" s="100">
        <f t="shared" si="69"/>
        <v>-150</v>
      </c>
      <c r="K151" s="100">
        <f t="shared" si="69"/>
        <v>-150</v>
      </c>
    </row>
    <row r="152" spans="2:11" x14ac:dyDescent="0.15">
      <c r="B152" s="80" t="s">
        <v>344</v>
      </c>
      <c r="C152" s="98">
        <v>0</v>
      </c>
      <c r="D152" s="98">
        <v>0</v>
      </c>
      <c r="E152" s="98">
        <v>0</v>
      </c>
      <c r="G152" s="130">
        <f>CHOOSE($C$5,G153,G154,G155)</f>
        <v>-150</v>
      </c>
      <c r="H152" s="130">
        <f t="shared" ref="H152" si="70">CHOOSE($C$5,H153,H154,H155)</f>
        <v>-150</v>
      </c>
      <c r="I152" s="130">
        <f t="shared" ref="I152" si="71">CHOOSE($C$5,I153,I154,I155)</f>
        <v>-150</v>
      </c>
      <c r="J152" s="130">
        <f t="shared" ref="J152" si="72">CHOOSE($C$5,J153,J154,J155)</f>
        <v>-150</v>
      </c>
      <c r="K152" s="130">
        <f t="shared" ref="K152" si="73">CHOOSE($C$5,K153,K154,K155)</f>
        <v>-150</v>
      </c>
    </row>
    <row r="153" spans="2:11" x14ac:dyDescent="0.15">
      <c r="B153" s="9" t="s">
        <v>16</v>
      </c>
      <c r="C153" s="18"/>
      <c r="D153" s="18"/>
      <c r="E153" s="18"/>
      <c r="G153" s="129">
        <v>-150</v>
      </c>
      <c r="H153" s="129">
        <v>-150</v>
      </c>
      <c r="I153" s="129">
        <v>-150</v>
      </c>
      <c r="J153" s="129">
        <v>-150</v>
      </c>
      <c r="K153" s="129">
        <v>-150</v>
      </c>
    </row>
    <row r="154" spans="2:11" x14ac:dyDescent="0.15">
      <c r="B154" s="9" t="s">
        <v>18</v>
      </c>
      <c r="C154" s="18"/>
      <c r="D154" s="18"/>
      <c r="E154" s="18"/>
      <c r="G154" s="129">
        <v>-200</v>
      </c>
      <c r="H154" s="129">
        <v>-200</v>
      </c>
      <c r="I154" s="129">
        <v>-200</v>
      </c>
      <c r="J154" s="129">
        <v>-200</v>
      </c>
      <c r="K154" s="129">
        <v>-200</v>
      </c>
    </row>
    <row r="155" spans="2:11" x14ac:dyDescent="0.15">
      <c r="B155" s="9" t="s">
        <v>21</v>
      </c>
      <c r="C155" s="18"/>
      <c r="D155" s="18"/>
      <c r="E155" s="18"/>
      <c r="G155" s="129">
        <v>-300</v>
      </c>
      <c r="H155" s="129">
        <v>-300</v>
      </c>
      <c r="I155" s="129">
        <v>-300</v>
      </c>
      <c r="J155" s="129">
        <v>-300</v>
      </c>
      <c r="K155" s="129">
        <v>-300</v>
      </c>
    </row>
  </sheetData>
  <mergeCells count="29">
    <mergeCell ref="N61:W61"/>
    <mergeCell ref="N62:W62"/>
    <mergeCell ref="N46:W46"/>
    <mergeCell ref="N53:W53"/>
    <mergeCell ref="N54:W54"/>
    <mergeCell ref="N55:W55"/>
    <mergeCell ref="N56:W56"/>
    <mergeCell ref="M59:W59"/>
    <mergeCell ref="N60:W60"/>
    <mergeCell ref="M47:W47"/>
    <mergeCell ref="N48:W48"/>
    <mergeCell ref="N49:W49"/>
    <mergeCell ref="N50:W50"/>
    <mergeCell ref="N51:W51"/>
    <mergeCell ref="N52:W52"/>
    <mergeCell ref="N57:W57"/>
    <mergeCell ref="N58:W58"/>
    <mergeCell ref="N45:W45"/>
    <mergeCell ref="M10:P10"/>
    <mergeCell ref="M19:P19"/>
    <mergeCell ref="M31:P31"/>
    <mergeCell ref="N37:W37"/>
    <mergeCell ref="M38:W38"/>
    <mergeCell ref="N39:W39"/>
    <mergeCell ref="N40:W40"/>
    <mergeCell ref="N41:W41"/>
    <mergeCell ref="N42:W42"/>
    <mergeCell ref="N43:W43"/>
    <mergeCell ref="N44:W4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55ABD-C223-1A45-8F7E-7F2FF50FBA94}">
  <dimension ref="B1:M47"/>
  <sheetViews>
    <sheetView topLeftCell="A17" zoomScale="130" zoomScaleNormal="130" workbookViewId="0">
      <selection activeCell="E26" sqref="E26"/>
    </sheetView>
  </sheetViews>
  <sheetFormatPr baseColWidth="10" defaultColWidth="9.1640625" defaultRowHeight="12" x14ac:dyDescent="0.15"/>
  <cols>
    <col min="1" max="1" width="2" style="9" customWidth="1"/>
    <col min="2" max="2" width="23.33203125" style="9" bestFit="1" customWidth="1"/>
    <col min="3" max="3" width="10.5" style="9" bestFit="1" customWidth="1"/>
    <col min="4" max="5" width="9.1640625" style="9"/>
    <col min="6" max="6" width="2" style="9" customWidth="1"/>
    <col min="7" max="7" width="10.5" style="9" bestFit="1" customWidth="1"/>
    <col min="8" max="11" width="9.1640625" style="9"/>
    <col min="12" max="12" width="2" style="9" customWidth="1"/>
    <col min="13" max="16384" width="9.1640625" style="9"/>
  </cols>
  <sheetData>
    <row r="1" spans="2:13" ht="16" x14ac:dyDescent="0.2">
      <c r="B1" s="8" t="s">
        <v>6</v>
      </c>
    </row>
    <row r="2" spans="2:13" x14ac:dyDescent="0.15">
      <c r="B2" s="9" t="s">
        <v>104</v>
      </c>
    </row>
    <row r="3" spans="2:13" ht="27" thickBot="1" x14ac:dyDescent="0.2">
      <c r="B3" s="86" t="s">
        <v>105</v>
      </c>
      <c r="C3" s="11" t="s">
        <v>237</v>
      </c>
      <c r="D3" s="11" t="s">
        <v>238</v>
      </c>
      <c r="E3" s="11" t="s">
        <v>239</v>
      </c>
      <c r="F3" s="12"/>
      <c r="G3" s="13" t="s">
        <v>240</v>
      </c>
      <c r="H3" s="13" t="s">
        <v>241</v>
      </c>
      <c r="I3" s="13" t="s">
        <v>242</v>
      </c>
      <c r="J3" s="13" t="s">
        <v>243</v>
      </c>
      <c r="K3" s="13" t="s">
        <v>244</v>
      </c>
      <c r="M3" s="23" t="s">
        <v>34</v>
      </c>
    </row>
    <row r="4" spans="2:13" x14ac:dyDescent="0.15">
      <c r="B4" s="9" t="s">
        <v>23</v>
      </c>
      <c r="C4" s="14">
        <f>'P&amp;L source'!D9</f>
        <v>24925.673999999999</v>
      </c>
      <c r="D4" s="14">
        <f>'P&amp;L source'!E9</f>
        <v>26749.821</v>
      </c>
      <c r="E4" s="14">
        <f>'P&amp;L source'!F9</f>
        <v>35504.92</v>
      </c>
      <c r="G4" s="15">
        <f>Assumptions!G9</f>
        <v>42605.903999999995</v>
      </c>
      <c r="H4" s="15">
        <f>Assumptions!H9</f>
        <v>51127.08479999999</v>
      </c>
      <c r="I4" s="15">
        <f>Assumptions!I9</f>
        <v>61352.501759999985</v>
      </c>
      <c r="J4" s="15">
        <f>Assumptions!J9</f>
        <v>73623.002111999973</v>
      </c>
      <c r="K4" s="15">
        <f>Assumptions!K9</f>
        <v>88347.602534399964</v>
      </c>
    </row>
    <row r="5" spans="2:13" x14ac:dyDescent="0.15">
      <c r="B5" s="9" t="s">
        <v>234</v>
      </c>
      <c r="C5" s="14">
        <f>'P&amp;L source'!D16</f>
        <v>-12338.36</v>
      </c>
      <c r="D5" s="14">
        <f>'P&amp;L source'!E16</f>
        <v>-9884.5</v>
      </c>
      <c r="E5" s="14">
        <f>'P&amp;L source'!F16</f>
        <v>-15124.359999999999</v>
      </c>
      <c r="G5" s="15">
        <f>Assumptions!G15</f>
        <v>-17042.3616</v>
      </c>
      <c r="H5" s="15">
        <f>Assumptions!H15</f>
        <v>-20450.833919999997</v>
      </c>
      <c r="I5" s="15">
        <f>Assumptions!I15</f>
        <v>-24541.000703999995</v>
      </c>
      <c r="J5" s="15">
        <f>Assumptions!J15</f>
        <v>-29449.200844799991</v>
      </c>
      <c r="K5" s="15">
        <f>Assumptions!K15</f>
        <v>-35339.04101375999</v>
      </c>
    </row>
    <row r="6" spans="2:13" x14ac:dyDescent="0.15">
      <c r="B6" s="24" t="s">
        <v>316</v>
      </c>
      <c r="C6" s="25">
        <f>SUM(C4:C5)</f>
        <v>12587.313999999998</v>
      </c>
      <c r="D6" s="25">
        <f t="shared" ref="D6:E6" si="0">SUM(D4:D5)</f>
        <v>16865.321</v>
      </c>
      <c r="E6" s="25">
        <f t="shared" si="0"/>
        <v>20380.559999999998</v>
      </c>
      <c r="F6" s="25"/>
      <c r="G6" s="55">
        <f t="shared" ref="G6" si="1">SUM(G4:G5)</f>
        <v>25563.542399999995</v>
      </c>
      <c r="H6" s="55">
        <f t="shared" ref="H6:I6" si="2">SUM(H4:H5)</f>
        <v>30676.250879999992</v>
      </c>
      <c r="I6" s="55">
        <f t="shared" si="2"/>
        <v>36811.501055999994</v>
      </c>
      <c r="J6" s="55">
        <f t="shared" ref="J6" si="3">SUM(J4:J5)</f>
        <v>44173.801267199982</v>
      </c>
      <c r="K6" s="55">
        <f t="shared" ref="K6" si="4">SUM(K4:K5)</f>
        <v>53008.561520639974</v>
      </c>
    </row>
    <row r="7" spans="2:13" x14ac:dyDescent="0.15">
      <c r="G7" s="21"/>
      <c r="H7" s="21"/>
      <c r="I7" s="21"/>
      <c r="J7" s="21"/>
      <c r="K7" s="21"/>
    </row>
    <row r="8" spans="2:13" x14ac:dyDescent="0.15">
      <c r="B8" s="9" t="s">
        <v>26</v>
      </c>
      <c r="C8" s="14">
        <f>SUM('P&amp;L source'!D20:D22)</f>
        <v>-3261.95</v>
      </c>
      <c r="D8" s="14">
        <f>SUM('P&amp;L source'!E20:E22)</f>
        <v>-2460.7799999999997</v>
      </c>
      <c r="E8" s="14">
        <f>SUM('P&amp;L source'!F20:F22)</f>
        <v>-2817.5010000000002</v>
      </c>
      <c r="F8" s="14"/>
      <c r="G8" s="15">
        <f>Assumptions!G21</f>
        <v>-2982.4132799999998</v>
      </c>
      <c r="H8" s="15">
        <f>Assumptions!H21</f>
        <v>-3578.8959359999994</v>
      </c>
      <c r="I8" s="15">
        <f>Assumptions!I21</f>
        <v>-4294.6751231999997</v>
      </c>
      <c r="J8" s="15">
        <f>Assumptions!J21</f>
        <v>-5153.6101478399987</v>
      </c>
      <c r="K8" s="15">
        <f>Assumptions!K21</f>
        <v>-6184.3321774079977</v>
      </c>
    </row>
    <row r="9" spans="2:13" x14ac:dyDescent="0.15">
      <c r="B9" s="24" t="s">
        <v>35</v>
      </c>
      <c r="C9" s="25">
        <f>C6+C8</f>
        <v>9325.3639999999978</v>
      </c>
      <c r="D9" s="25">
        <f t="shared" ref="D9:E9" si="5">D6+D8</f>
        <v>14404.541000000001</v>
      </c>
      <c r="E9" s="25">
        <f t="shared" si="5"/>
        <v>17563.058999999997</v>
      </c>
      <c r="F9" s="25">
        <f t="shared" ref="F9" si="6">F6+F8</f>
        <v>0</v>
      </c>
      <c r="G9" s="55">
        <f t="shared" ref="G9" si="7">G6+G8</f>
        <v>22581.129119999994</v>
      </c>
      <c r="H9" s="55">
        <f t="shared" ref="H9" si="8">H6+H8</f>
        <v>27097.354943999992</v>
      </c>
      <c r="I9" s="55">
        <f t="shared" ref="I9" si="9">I6+I8</f>
        <v>32516.825932799995</v>
      </c>
      <c r="J9" s="55">
        <f t="shared" ref="J9" si="10">J6+J8</f>
        <v>39020.191119359981</v>
      </c>
      <c r="K9" s="55">
        <f t="shared" ref="K9" si="11">K6+K8</f>
        <v>46824.229343231978</v>
      </c>
    </row>
    <row r="10" spans="2:13" ht="13" customHeight="1" x14ac:dyDescent="0.15">
      <c r="G10" s="21"/>
      <c r="H10" s="21"/>
      <c r="I10" s="21"/>
      <c r="J10" s="21"/>
      <c r="K10" s="21"/>
    </row>
    <row r="11" spans="2:13" x14ac:dyDescent="0.15">
      <c r="B11" s="9" t="s">
        <v>27</v>
      </c>
      <c r="C11" s="14">
        <f>SUM('P&amp;L source'!D26:D27)</f>
        <v>-1269.171</v>
      </c>
      <c r="D11" s="14">
        <f>SUM('P&amp;L source'!E26:E27)</f>
        <v>-1396.76</v>
      </c>
      <c r="E11" s="14">
        <f>SUM('P&amp;L source'!F26:F27)</f>
        <v>-1426.72</v>
      </c>
      <c r="F11" s="14"/>
      <c r="G11" s="15">
        <f>Assumptions!G27</f>
        <v>-1704.2361599999999</v>
      </c>
      <c r="H11" s="15">
        <f>Assumptions!H27</f>
        <v>-2045.0833919999995</v>
      </c>
      <c r="I11" s="15">
        <f>Assumptions!I27</f>
        <v>-2454.1000703999994</v>
      </c>
      <c r="J11" s="15">
        <f>Assumptions!J27</f>
        <v>-2944.9200844799989</v>
      </c>
      <c r="K11" s="15">
        <f>Assumptions!K27</f>
        <v>-3533.9041013759988</v>
      </c>
    </row>
    <row r="12" spans="2:13" x14ac:dyDescent="0.15">
      <c r="B12" s="24" t="s">
        <v>36</v>
      </c>
      <c r="C12" s="25">
        <f>C9+C11</f>
        <v>8056.1929999999975</v>
      </c>
      <c r="D12" s="25">
        <f t="shared" ref="D12:E12" si="12">D9+D11</f>
        <v>13007.781000000001</v>
      </c>
      <c r="E12" s="25">
        <f t="shared" si="12"/>
        <v>16136.338999999998</v>
      </c>
      <c r="F12" s="25">
        <f t="shared" ref="F12" si="13">F9+F11</f>
        <v>0</v>
      </c>
      <c r="G12" s="55">
        <f t="shared" ref="G12" si="14">G9+G11</f>
        <v>20876.892959999994</v>
      </c>
      <c r="H12" s="55">
        <f t="shared" ref="H12" si="15">H9+H11</f>
        <v>25052.271551999991</v>
      </c>
      <c r="I12" s="55">
        <f t="shared" ref="I12" si="16">I9+I11</f>
        <v>30062.725862399995</v>
      </c>
      <c r="J12" s="55">
        <f t="shared" ref="J12" si="17">J9+J11</f>
        <v>36075.271034879981</v>
      </c>
      <c r="K12" s="55">
        <f t="shared" ref="K12" si="18">K9+K11</f>
        <v>43290.325241855979</v>
      </c>
    </row>
    <row r="13" spans="2:13" ht="11" customHeight="1" x14ac:dyDescent="0.15">
      <c r="B13" s="26"/>
      <c r="C13" s="27"/>
      <c r="D13" s="27"/>
      <c r="E13" s="27"/>
      <c r="F13" s="27"/>
      <c r="G13" s="15"/>
      <c r="H13" s="15"/>
      <c r="I13" s="15"/>
      <c r="J13" s="15"/>
      <c r="K13" s="15"/>
    </row>
    <row r="14" spans="2:13" x14ac:dyDescent="0.15">
      <c r="B14" s="9" t="s">
        <v>232</v>
      </c>
      <c r="C14" s="14">
        <f>'P&amp;L source'!D30</f>
        <v>1057.33</v>
      </c>
      <c r="D14" s="14">
        <f>'P&amp;L source'!E30</f>
        <v>1603.57</v>
      </c>
      <c r="E14" s="14">
        <f>'P&amp;L source'!F30</f>
        <v>2102.4499999999998</v>
      </c>
      <c r="F14" s="14"/>
      <c r="G14" s="15">
        <f>Assumptions!G33</f>
        <v>2922.7650143999995</v>
      </c>
      <c r="H14" s="15">
        <f>Assumptions!H33</f>
        <v>3507.3180172799989</v>
      </c>
      <c r="I14" s="15">
        <f>Assumptions!I33</f>
        <v>4208.7816207360001</v>
      </c>
      <c r="J14" s="15">
        <f>Assumptions!J33</f>
        <v>5050.5379448831982</v>
      </c>
      <c r="K14" s="15">
        <f>Assumptions!K33</f>
        <v>6060.645533859838</v>
      </c>
    </row>
    <row r="15" spans="2:13" x14ac:dyDescent="0.15">
      <c r="B15" s="9" t="s">
        <v>231</v>
      </c>
      <c r="C15" s="14">
        <f>'P&amp;L source'!D31</f>
        <v>-981.39</v>
      </c>
      <c r="D15" s="14">
        <f>'P&amp;L source'!E31</f>
        <v>-1039.47</v>
      </c>
      <c r="E15" s="14">
        <f>'P&amp;L source'!F31</f>
        <v>-940.91</v>
      </c>
      <c r="F15" s="14"/>
      <c r="G15" s="15">
        <f>Assumptions!G39</f>
        <v>-627.199839</v>
      </c>
      <c r="H15" s="15">
        <f>Assumptions!H39</f>
        <v>-489.89392830000003</v>
      </c>
      <c r="I15" s="15">
        <f>Assumptions!I39</f>
        <v>-496.37781852749998</v>
      </c>
      <c r="J15" s="15">
        <f>Assumptions!J39</f>
        <v>-421.92114574837501</v>
      </c>
      <c r="K15" s="15">
        <f>Assumptions!K39</f>
        <v>-358.6329738861188</v>
      </c>
    </row>
    <row r="16" spans="2:13" ht="14" customHeight="1" x14ac:dyDescent="0.15">
      <c r="B16" s="24" t="s">
        <v>317</v>
      </c>
      <c r="C16" s="25">
        <f>SUM(C12,C14:C15)</f>
        <v>8132.1329999999971</v>
      </c>
      <c r="D16" s="25">
        <f t="shared" ref="D16:E16" si="19">SUM(D12,D14:D15)</f>
        <v>13571.881000000001</v>
      </c>
      <c r="E16" s="25">
        <f t="shared" si="19"/>
        <v>17297.878999999997</v>
      </c>
      <c r="F16" s="25"/>
      <c r="G16" s="55">
        <f t="shared" ref="G16" si="20">SUM(G12,G14:G15)</f>
        <v>23172.458135399993</v>
      </c>
      <c r="H16" s="55">
        <f t="shared" ref="H16" si="21">SUM(H12,H14:H15)</f>
        <v>28069.69564097999</v>
      </c>
      <c r="I16" s="55">
        <f t="shared" ref="I16" si="22">SUM(I12,I14:I15)</f>
        <v>33775.129664608496</v>
      </c>
      <c r="J16" s="55">
        <f t="shared" ref="J16" si="23">SUM(J12,J14:J15)</f>
        <v>40703.8878340148</v>
      </c>
      <c r="K16" s="55">
        <f t="shared" ref="K16" si="24">SUM(K12,K14:K15)</f>
        <v>48992.337801829701</v>
      </c>
    </row>
    <row r="17" spans="2:13" ht="12" customHeight="1" x14ac:dyDescent="0.15">
      <c r="G17" s="21"/>
      <c r="H17" s="21"/>
      <c r="I17" s="21"/>
      <c r="J17" s="21"/>
      <c r="K17" s="21"/>
    </row>
    <row r="18" spans="2:13" ht="12" customHeight="1" x14ac:dyDescent="0.15">
      <c r="B18" s="9" t="s">
        <v>28</v>
      </c>
      <c r="C18" s="9">
        <f>SUM('P&amp;L source'!D35:D37)</f>
        <v>344.87299999999993</v>
      </c>
      <c r="D18" s="9">
        <f>SUM('P&amp;L source'!E35:E37)</f>
        <v>1489.6769999999999</v>
      </c>
      <c r="E18" s="9">
        <f>SUM('P&amp;L source'!F35:F37)</f>
        <v>1601.9169999999999</v>
      </c>
      <c r="G18" s="21">
        <f>Assumptions!G45</f>
        <v>1842.2045499999997</v>
      </c>
      <c r="H18" s="21">
        <f>Assumptions!H45</f>
        <v>2118.5352324999994</v>
      </c>
      <c r="I18" s="21">
        <f>Assumptions!I45</f>
        <v>2436.3155173749992</v>
      </c>
      <c r="J18" s="21">
        <f>Assumptions!J45</f>
        <v>2801.7628449812487</v>
      </c>
      <c r="K18" s="21">
        <f>Assumptions!K45</f>
        <v>3222.0272717284356</v>
      </c>
    </row>
    <row r="19" spans="2:13" x14ac:dyDescent="0.15">
      <c r="B19" s="24" t="s">
        <v>318</v>
      </c>
      <c r="C19" s="25">
        <f>C16+C18</f>
        <v>8477.0059999999976</v>
      </c>
      <c r="D19" s="25">
        <f t="shared" ref="D19:E19" si="25">D16+D18</f>
        <v>15061.558000000001</v>
      </c>
      <c r="E19" s="25">
        <f t="shared" si="25"/>
        <v>18899.795999999998</v>
      </c>
      <c r="F19" s="25">
        <f t="shared" ref="F19" si="26">F16+F18</f>
        <v>0</v>
      </c>
      <c r="G19" s="55">
        <f t="shared" ref="G19" si="27">G16+G18</f>
        <v>25014.662685399991</v>
      </c>
      <c r="H19" s="55">
        <f t="shared" ref="H19" si="28">H16+H18</f>
        <v>30188.230873479988</v>
      </c>
      <c r="I19" s="55">
        <f t="shared" ref="I19" si="29">I16+I18</f>
        <v>36211.445181983494</v>
      </c>
      <c r="J19" s="55">
        <f t="shared" ref="J19" si="30">J16+J18</f>
        <v>43505.650678996048</v>
      </c>
      <c r="K19" s="55">
        <f t="shared" ref="K19" si="31">K16+K18</f>
        <v>52214.36507355814</v>
      </c>
    </row>
    <row r="20" spans="2:13" ht="12" customHeight="1" x14ac:dyDescent="0.15">
      <c r="G20" s="21"/>
      <c r="H20" s="21"/>
      <c r="I20" s="21"/>
      <c r="J20" s="21"/>
      <c r="K20" s="21"/>
    </row>
    <row r="21" spans="2:13" x14ac:dyDescent="0.15">
      <c r="B21" s="9" t="s">
        <v>38</v>
      </c>
      <c r="C21" s="19">
        <f>ABS(C22/C19)</f>
        <v>3.989156077039465E-2</v>
      </c>
      <c r="D21" s="19">
        <f t="shared" ref="D21:E21" si="32">ABS(D22/D19)</f>
        <v>1.5430940145767123E-2</v>
      </c>
      <c r="E21" s="19">
        <f t="shared" si="32"/>
        <v>7.6757812624009283E-2</v>
      </c>
      <c r="F21" s="14"/>
      <c r="G21" s="17">
        <f>ABS(G22/G19)</f>
        <v>0.08</v>
      </c>
      <c r="H21" s="17">
        <f t="shared" ref="H21:K21" si="33">ABS(H22/H19)</f>
        <v>0.08</v>
      </c>
      <c r="I21" s="17">
        <f t="shared" si="33"/>
        <v>0.08</v>
      </c>
      <c r="J21" s="17">
        <f t="shared" si="33"/>
        <v>0.08</v>
      </c>
      <c r="K21" s="17">
        <f t="shared" si="33"/>
        <v>0.08</v>
      </c>
    </row>
    <row r="22" spans="2:13" x14ac:dyDescent="0.15">
      <c r="B22" s="9" t="s">
        <v>29</v>
      </c>
      <c r="C22" s="14">
        <f>'P&amp;L source'!D40</f>
        <v>-338.161</v>
      </c>
      <c r="D22" s="14">
        <f>'P&amp;L source'!E40</f>
        <v>-232.41399999999999</v>
      </c>
      <c r="E22" s="14">
        <f>'P&amp;L source'!F40</f>
        <v>-1450.7070000000001</v>
      </c>
      <c r="F22" s="14"/>
      <c r="G22" s="15">
        <f>Assumptions!G51</f>
        <v>-2001.1730148319994</v>
      </c>
      <c r="H22" s="15">
        <f>Assumptions!H51</f>
        <v>-2415.0584698783991</v>
      </c>
      <c r="I22" s="15">
        <f>Assumptions!I51</f>
        <v>-2896.9156145586794</v>
      </c>
      <c r="J22" s="15">
        <f>Assumptions!J51</f>
        <v>-3480.4520543196841</v>
      </c>
      <c r="K22" s="15">
        <f>Assumptions!K51</f>
        <v>-4177.1492058846516</v>
      </c>
    </row>
    <row r="23" spans="2:13" ht="12" customHeight="1" x14ac:dyDescent="0.15">
      <c r="C23" s="14"/>
      <c r="D23" s="14"/>
      <c r="E23" s="14"/>
      <c r="F23" s="14"/>
      <c r="G23" s="21"/>
      <c r="H23" s="21"/>
      <c r="I23" s="21"/>
      <c r="J23" s="21"/>
      <c r="K23" s="21"/>
    </row>
    <row r="24" spans="2:13" x14ac:dyDescent="0.15">
      <c r="B24" s="28" t="s">
        <v>39</v>
      </c>
      <c r="C24" s="29">
        <f>C19+C22</f>
        <v>8138.8449999999975</v>
      </c>
      <c r="D24" s="29">
        <f t="shared" ref="D24:K24" si="34">D19+D22</f>
        <v>14829.144</v>
      </c>
      <c r="E24" s="29">
        <f t="shared" si="34"/>
        <v>17449.089</v>
      </c>
      <c r="F24" s="29">
        <f t="shared" si="34"/>
        <v>0</v>
      </c>
      <c r="G24" s="29">
        <f t="shared" si="34"/>
        <v>23013.489670567993</v>
      </c>
      <c r="H24" s="29">
        <f t="shared" si="34"/>
        <v>27773.172403601588</v>
      </c>
      <c r="I24" s="29">
        <f t="shared" si="34"/>
        <v>33314.529567424812</v>
      </c>
      <c r="J24" s="29">
        <f t="shared" si="34"/>
        <v>40025.198624676363</v>
      </c>
      <c r="K24" s="29">
        <f t="shared" si="34"/>
        <v>48037.215867673491</v>
      </c>
    </row>
    <row r="27" spans="2:13" ht="16" x14ac:dyDescent="0.2">
      <c r="B27" s="8" t="s">
        <v>40</v>
      </c>
    </row>
    <row r="28" spans="2:13" x14ac:dyDescent="0.15">
      <c r="B28" s="9" t="s">
        <v>104</v>
      </c>
    </row>
    <row r="29" spans="2:13" ht="27" thickBot="1" x14ac:dyDescent="0.2">
      <c r="B29" s="86" t="s">
        <v>105</v>
      </c>
      <c r="C29" s="11" t="s">
        <v>237</v>
      </c>
      <c r="D29" s="11" t="s">
        <v>238</v>
      </c>
      <c r="E29" s="11" t="s">
        <v>239</v>
      </c>
      <c r="F29" s="12"/>
      <c r="G29" s="13" t="s">
        <v>240</v>
      </c>
      <c r="H29" s="13" t="s">
        <v>241</v>
      </c>
      <c r="I29" s="13" t="s">
        <v>242</v>
      </c>
      <c r="J29" s="13" t="s">
        <v>243</v>
      </c>
      <c r="K29" s="13" t="s">
        <v>244</v>
      </c>
      <c r="M29" s="23" t="s">
        <v>34</v>
      </c>
    </row>
    <row r="30" spans="2:13" x14ac:dyDescent="0.15">
      <c r="B30" s="9" t="s">
        <v>135</v>
      </c>
      <c r="C30" s="14">
        <f>SUMIF(Assumptions!$B:$B,'P&amp;L and BS'!$B30,Assumptions!C:C)</f>
        <v>22218.35</v>
      </c>
      <c r="D30" s="14">
        <f>SUMIF(Assumptions!$B:$B,'P&amp;L and BS'!$B30,Assumptions!D:D)</f>
        <v>17255.07</v>
      </c>
      <c r="E30" s="14">
        <f>SUMIF(Assumptions!$B:$B,'P&amp;L and BS'!$B30,Assumptions!E:E)</f>
        <v>15484.276</v>
      </c>
      <c r="F30" s="14">
        <f>SUMIF(Assumptions!$B:$B,'P&amp;L and BS'!$B30,Assumptions!F:F)</f>
        <v>0</v>
      </c>
      <c r="G30" s="15">
        <f>SUMIF(Assumptions!$B:$B,'P&amp;L and BS'!$B30,Assumptions!G:G)</f>
        <v>17509.275616438354</v>
      </c>
      <c r="H30" s="15">
        <f>SUMIF(Assumptions!$B:$B,'P&amp;L and BS'!$B30,Assumptions!H:H)</f>
        <v>21011.130739726021</v>
      </c>
      <c r="I30" s="15">
        <f>SUMIF(Assumptions!$B:$B,'P&amp;L and BS'!$B30,Assumptions!I:I)</f>
        <v>25213.356887671223</v>
      </c>
      <c r="J30" s="15">
        <f>SUMIF(Assumptions!$B:$B,'P&amp;L and BS'!$B30,Assumptions!J:J)</f>
        <v>30256.02826520547</v>
      </c>
      <c r="K30" s="15">
        <f>SUMIF(Assumptions!$B:$B,'P&amp;L and BS'!$B30,Assumptions!K:K)</f>
        <v>36307.233918246566</v>
      </c>
    </row>
    <row r="31" spans="2:13" x14ac:dyDescent="0.15">
      <c r="B31" s="9" t="s">
        <v>274</v>
      </c>
      <c r="C31" s="14">
        <f>SUMIF(Assumptions!$B:$B,'P&amp;L and BS'!$B31,Assumptions!C:C)</f>
        <v>32572.137999999999</v>
      </c>
      <c r="D31" s="14">
        <f>SUMIF(Assumptions!$B:$B,'P&amp;L and BS'!$B31,Assumptions!D:D)</f>
        <v>30984.447</v>
      </c>
      <c r="E31" s="14">
        <f>SUMIF(Assumptions!$B:$B,'P&amp;L and BS'!$B31,Assumptions!E:E)</f>
        <v>30327.111000000001</v>
      </c>
      <c r="F31" s="14">
        <f>SUMIF(Assumptions!$B:$B,'P&amp;L and BS'!$B31,Assumptions!F:F)</f>
        <v>0</v>
      </c>
      <c r="G31" s="15">
        <f>SUMIF(Assumptions!$B:$B,'P&amp;L and BS'!$B31,Assumptions!G:G)</f>
        <v>34084.7232</v>
      </c>
      <c r="H31" s="15">
        <f>SUMIF(Assumptions!$B:$B,'P&amp;L and BS'!$B31,Assumptions!H:H)</f>
        <v>40901.667839999995</v>
      </c>
      <c r="I31" s="15">
        <f>SUMIF(Assumptions!$B:$B,'P&amp;L and BS'!$B31,Assumptions!I:I)</f>
        <v>49082.001407999989</v>
      </c>
      <c r="J31" s="15">
        <f>SUMIF(Assumptions!$B:$B,'P&amp;L and BS'!$B31,Assumptions!J:J)</f>
        <v>58898.401689599981</v>
      </c>
      <c r="K31" s="15">
        <f>SUMIF(Assumptions!$B:$B,'P&amp;L and BS'!$B31,Assumptions!K:K)</f>
        <v>70678.08202751998</v>
      </c>
    </row>
    <row r="32" spans="2:13" x14ac:dyDescent="0.15">
      <c r="B32" s="9" t="s">
        <v>283</v>
      </c>
      <c r="C32" s="14">
        <f>SUMIF(Assumptions!$B:$B,'P&amp;L and BS'!$B32,Assumptions!C:C)</f>
        <v>42240.59</v>
      </c>
      <c r="D32" s="14">
        <f>SUMIF(Assumptions!$B:$B,'P&amp;L and BS'!$B32,Assumptions!D:D)</f>
        <v>40997.599999999999</v>
      </c>
      <c r="E32" s="14">
        <f>SUMIF(Assumptions!$B:$B,'P&amp;L and BS'!$B32,Assumptions!E:E)</f>
        <v>45096.264000000003</v>
      </c>
      <c r="F32" s="14">
        <f>SUMIF(Assumptions!$B:$B,'P&amp;L and BS'!$B32,Assumptions!F:F)</f>
        <v>0</v>
      </c>
      <c r="G32" s="15">
        <f>SUMIF(Assumptions!$B:$B,'P&amp;L and BS'!$B32,Assumptions!G:G)</f>
        <v>44356.831561643834</v>
      </c>
      <c r="H32" s="15">
        <f>SUMIF(Assumptions!$B:$B,'P&amp;L and BS'!$B32,Assumptions!H:H)</f>
        <v>53228.197873972596</v>
      </c>
      <c r="I32" s="15">
        <f>SUMIF(Assumptions!$B:$B,'P&amp;L and BS'!$B32,Assumptions!I:I)</f>
        <v>63873.837448767117</v>
      </c>
      <c r="J32" s="15">
        <f>SUMIF(Assumptions!$B:$B,'P&amp;L and BS'!$B32,Assumptions!J:J)</f>
        <v>76648.604938520526</v>
      </c>
      <c r="K32" s="15">
        <f>SUMIF(Assumptions!$B:$B,'P&amp;L and BS'!$B32,Assumptions!K:K)</f>
        <v>91978.325926224643</v>
      </c>
    </row>
    <row r="33" spans="2:13" x14ac:dyDescent="0.15">
      <c r="B33" s="9" t="s">
        <v>285</v>
      </c>
      <c r="C33" s="14">
        <f>SUMIF(Assumptions!$B:$B,'P&amp;L and BS'!$B33,Assumptions!C:C)</f>
        <v>10247.821000000002</v>
      </c>
      <c r="D33" s="14">
        <f>SUMIF(Assumptions!$B:$B,'P&amp;L and BS'!$B33,Assumptions!D:D)</f>
        <v>9540.1229999999996</v>
      </c>
      <c r="E33" s="14">
        <f>SUMIF(Assumptions!$B:$B,'P&amp;L and BS'!$B33,Assumptions!E:E)</f>
        <v>9206.9979999999996</v>
      </c>
      <c r="F33" s="14">
        <f>SUMIF(Assumptions!$B:$B,'P&amp;L and BS'!$B33,Assumptions!F:F)</f>
        <v>0</v>
      </c>
      <c r="G33" s="15">
        <f>SUMIF(Assumptions!$B:$B,'P&amp;L and BS'!$B33,Assumptions!G:G)</f>
        <v>9667.3479000000007</v>
      </c>
      <c r="H33" s="15">
        <f>SUMIF(Assumptions!$B:$B,'P&amp;L and BS'!$B33,Assumptions!H:H)</f>
        <v>10150.715295000002</v>
      </c>
      <c r="I33" s="15">
        <f>SUMIF(Assumptions!$B:$B,'P&amp;L and BS'!$B33,Assumptions!I:I)</f>
        <v>10658.251059750002</v>
      </c>
      <c r="J33" s="15">
        <f>SUMIF(Assumptions!$B:$B,'P&amp;L and BS'!$B33,Assumptions!J:J)</f>
        <v>11191.163612737502</v>
      </c>
      <c r="K33" s="15">
        <f>SUMIF(Assumptions!$B:$B,'P&amp;L and BS'!$B33,Assumptions!K:K)</f>
        <v>11750.721793374378</v>
      </c>
    </row>
    <row r="34" spans="2:13" x14ac:dyDescent="0.15">
      <c r="B34" s="9" t="s">
        <v>32</v>
      </c>
      <c r="C34" s="14">
        <f>SUMIF(Assumptions!$B:$B,'P&amp;L and BS'!$B34,Assumptions!C:C)</f>
        <v>6796.0490000000009</v>
      </c>
      <c r="D34" s="14">
        <f>SUMIF(Assumptions!$B:$B,'P&amp;L and BS'!$B34,Assumptions!D:D)</f>
        <v>6765.0829999999996</v>
      </c>
      <c r="E34" s="14">
        <f>SUMIF(Assumptions!$B:$B,'P&amp;L and BS'!$B34,Assumptions!E:E)</f>
        <v>10051.527</v>
      </c>
      <c r="F34" s="14">
        <f>SUMIF(Assumptions!$B:$B,'P&amp;L and BS'!$B34,Assumptions!F:F)</f>
        <v>0</v>
      </c>
      <c r="G34" s="15">
        <f>SUMIF(Assumptions!$B:$B,'P&amp;L and BS'!$B34,Assumptions!G:G)</f>
        <v>11077.535039999999</v>
      </c>
      <c r="H34" s="15">
        <f>SUMIF(Assumptions!$B:$B,'P&amp;L and BS'!$B34,Assumptions!H:H)</f>
        <v>13293.042047999998</v>
      </c>
      <c r="I34" s="15">
        <f>SUMIF(Assumptions!$B:$B,'P&amp;L and BS'!$B34,Assumptions!I:I)</f>
        <v>15951.650457599997</v>
      </c>
      <c r="J34" s="15">
        <f>SUMIF(Assumptions!$B:$B,'P&amp;L and BS'!$B34,Assumptions!J:J)</f>
        <v>19141.980549119995</v>
      </c>
      <c r="K34" s="15">
        <f>SUMIF(Assumptions!$B:$B,'P&amp;L and BS'!$B34,Assumptions!K:K)</f>
        <v>22970.376658943991</v>
      </c>
    </row>
    <row r="35" spans="2:13" x14ac:dyDescent="0.15">
      <c r="B35" s="9" t="s">
        <v>180</v>
      </c>
      <c r="C35" s="14">
        <f>'BS source'!D4</f>
        <v>18289.16</v>
      </c>
      <c r="D35" s="14">
        <f>'BS source'!E4</f>
        <v>33854.910000000003</v>
      </c>
      <c r="E35" s="14">
        <f>'BS source'!F4</f>
        <v>50056.180999999997</v>
      </c>
      <c r="G35" s="15">
        <f>G45-SUM(G30:G34)</f>
        <v>78149.38006265556</v>
      </c>
      <c r="H35" s="15">
        <f t="shared" ref="H35:K35" si="35">H45-SUM(H30:H34)</f>
        <v>96068.473035244679</v>
      </c>
      <c r="I35" s="15">
        <f t="shared" si="35"/>
        <v>118049.91701700108</v>
      </c>
      <c r="J35" s="15">
        <f t="shared" si="35"/>
        <v>144923.60813268932</v>
      </c>
      <c r="K35" s="15">
        <f t="shared" si="35"/>
        <v>177568.15599768684</v>
      </c>
      <c r="M35" s="9" t="s">
        <v>321</v>
      </c>
    </row>
    <row r="36" spans="2:13" ht="13" thickBot="1" x14ac:dyDescent="0.2">
      <c r="B36" s="30" t="s">
        <v>42</v>
      </c>
      <c r="C36" s="31">
        <f>SUM(C30:C35)</f>
        <v>132364.10799999998</v>
      </c>
      <c r="D36" s="31">
        <f t="shared" ref="D36:E36" si="36">SUM(D30:D35)</f>
        <v>139397.23300000001</v>
      </c>
      <c r="E36" s="31">
        <f t="shared" si="36"/>
        <v>160222.35700000002</v>
      </c>
      <c r="F36" s="31"/>
      <c r="G36" s="31">
        <f t="shared" ref="G36" si="37">SUM(G30:G35)</f>
        <v>194845.09338073776</v>
      </c>
      <c r="H36" s="31">
        <f t="shared" ref="H36:I36" si="38">SUM(H30:H35)</f>
        <v>234653.22683194329</v>
      </c>
      <c r="I36" s="31">
        <f t="shared" si="38"/>
        <v>282829.0142787894</v>
      </c>
      <c r="J36" s="31">
        <f t="shared" ref="J36" si="39">SUM(J30:J35)</f>
        <v>341059.7871878728</v>
      </c>
      <c r="K36" s="31">
        <f t="shared" ref="K36" si="40">SUM(K30:K35)</f>
        <v>411252.89632199641</v>
      </c>
    </row>
    <row r="37" spans="2:13" x14ac:dyDescent="0.15">
      <c r="C37" s="14"/>
      <c r="D37" s="14"/>
      <c r="E37" s="14"/>
      <c r="F37" s="14"/>
      <c r="G37" s="15"/>
      <c r="H37" s="15"/>
      <c r="I37" s="15"/>
      <c r="J37" s="15"/>
      <c r="K37" s="15"/>
    </row>
    <row r="38" spans="2:13" x14ac:dyDescent="0.15">
      <c r="B38" s="9" t="s">
        <v>143</v>
      </c>
      <c r="C38" s="14">
        <f>SUMIF(Assumptions!$B:$B,'P&amp;L and BS'!$B38,Assumptions!C:C)</f>
        <v>19659.763999999999</v>
      </c>
      <c r="D38" s="14">
        <f>SUMIF(Assumptions!$B:$B,'P&amp;L and BS'!$B38,Assumptions!D:D)</f>
        <v>14737.47</v>
      </c>
      <c r="E38" s="14">
        <f>SUMIF(Assumptions!$B:$B,'P&amp;L and BS'!$B38,Assumptions!E:E)</f>
        <v>17570.830000000002</v>
      </c>
      <c r="F38" s="14">
        <f>SUMIF(Assumptions!$B:$B,'P&amp;L and BS'!$B38,Assumptions!F:F)</f>
        <v>0</v>
      </c>
      <c r="G38" s="15">
        <f>SUMIF(Assumptions!$B:$B,'P&amp;L and BS'!$B38,Assumptions!G:G)</f>
        <v>23345.70082191781</v>
      </c>
      <c r="H38" s="15">
        <f>SUMIF(Assumptions!$B:$B,'P&amp;L and BS'!$B38,Assumptions!H:H)</f>
        <v>28014.840986301366</v>
      </c>
      <c r="I38" s="15">
        <f>SUMIF(Assumptions!$B:$B,'P&amp;L and BS'!$B38,Assumptions!I:I)</f>
        <v>33617.809183561643</v>
      </c>
      <c r="J38" s="15">
        <f>SUMIF(Assumptions!$B:$B,'P&amp;L and BS'!$B38,Assumptions!J:J)</f>
        <v>40341.37102027396</v>
      </c>
      <c r="K38" s="15">
        <f>SUMIF(Assumptions!$B:$B,'P&amp;L and BS'!$B38,Assumptions!K:K)</f>
        <v>48409.645224328757</v>
      </c>
    </row>
    <row r="39" spans="2:13" x14ac:dyDescent="0.15">
      <c r="B39" s="9" t="s">
        <v>286</v>
      </c>
      <c r="C39" s="14">
        <f>SUMIF(Assumptions!$B:$B,'P&amp;L and BS'!$B39,Assumptions!C:C)</f>
        <v>19563.73</v>
      </c>
      <c r="D39" s="14">
        <f>SUMIF(Assumptions!$B:$B,'P&amp;L and BS'!$B39,Assumptions!D:D)</f>
        <v>22857.576000000001</v>
      </c>
      <c r="E39" s="14">
        <f>SUMIF(Assumptions!$B:$B,'P&amp;L and BS'!$B39,Assumptions!E:E)</f>
        <v>32495.29</v>
      </c>
      <c r="F39" s="14">
        <f>SUMIF(Assumptions!$B:$B,'P&amp;L and BS'!$B39,Assumptions!F:F)</f>
        <v>0</v>
      </c>
      <c r="G39" s="15">
        <f>SUMIF(Assumptions!$B:$B,'P&amp;L and BS'!$B39,Assumptions!G:G)</f>
        <v>39197.431679999994</v>
      </c>
      <c r="H39" s="15">
        <f>SUMIF(Assumptions!$B:$B,'P&amp;L and BS'!$B39,Assumptions!H:H)</f>
        <v>47036.918015999996</v>
      </c>
      <c r="I39" s="15">
        <f>SUMIF(Assumptions!$B:$B,'P&amp;L and BS'!$B39,Assumptions!I:I)</f>
        <v>56444.301619199985</v>
      </c>
      <c r="J39" s="15">
        <f>SUMIF(Assumptions!$B:$B,'P&amp;L and BS'!$B39,Assumptions!J:J)</f>
        <v>67733.161943039973</v>
      </c>
      <c r="K39" s="15">
        <f>SUMIF(Assumptions!$B:$B,'P&amp;L and BS'!$B39,Assumptions!K:K)</f>
        <v>81279.794331647965</v>
      </c>
    </row>
    <row r="40" spans="2:13" x14ac:dyDescent="0.15">
      <c r="B40" s="9" t="s">
        <v>287</v>
      </c>
      <c r="C40" s="14">
        <f>SUMIF(Assumptions!$B:$B,'P&amp;L and BS'!$B40,Assumptions!C:C)</f>
        <v>14497.91</v>
      </c>
      <c r="D40" s="14">
        <f>SUMIF(Assumptions!$B:$B,'P&amp;L and BS'!$B40,Assumptions!D:D)</f>
        <v>12270.56</v>
      </c>
      <c r="E40" s="14">
        <f>SUMIF(Assumptions!$B:$B,'P&amp;L and BS'!$B40,Assumptions!E:E)</f>
        <v>9686.4840000000004</v>
      </c>
      <c r="F40" s="14">
        <f>SUMIF(Assumptions!$B:$B,'P&amp;L and BS'!$B40,Assumptions!F:F)</f>
        <v>0</v>
      </c>
      <c r="G40" s="15">
        <f>SUMIF(Assumptions!$B:$B,'P&amp;L and BS'!$B40,Assumptions!G:G)</f>
        <v>8233.5113999999994</v>
      </c>
      <c r="H40" s="15">
        <f>SUMIF(Assumptions!$B:$B,'P&amp;L and BS'!$B40,Assumptions!H:H)</f>
        <v>6998.4846899999993</v>
      </c>
      <c r="I40" s="15">
        <f>SUMIF(Assumptions!$B:$B,'P&amp;L and BS'!$B40,Assumptions!I:I)</f>
        <v>5948.7119864999995</v>
      </c>
      <c r="J40" s="15">
        <f>SUMIF(Assumptions!$B:$B,'P&amp;L and BS'!$B40,Assumptions!J:J)</f>
        <v>5056.4051885249992</v>
      </c>
      <c r="K40" s="15">
        <f>SUMIF(Assumptions!$B:$B,'P&amp;L and BS'!$B40,Assumptions!K:K)</f>
        <v>4297.9444102462494</v>
      </c>
    </row>
    <row r="41" spans="2:13" x14ac:dyDescent="0.15">
      <c r="B41" s="9" t="s">
        <v>148</v>
      </c>
      <c r="C41" s="14">
        <f>SUMIF(Assumptions!$B:$B,'P&amp;L and BS'!$B41,Assumptions!C:C)</f>
        <v>0</v>
      </c>
      <c r="D41" s="14">
        <f>SUMIF(Assumptions!$B:$B,'P&amp;L and BS'!$B41,Assumptions!D:D)</f>
        <v>238.268</v>
      </c>
      <c r="E41" s="14">
        <f>SUMIF(Assumptions!$B:$B,'P&amp;L and BS'!$B41,Assumptions!E:E)</f>
        <v>1237.8399999999999</v>
      </c>
      <c r="F41" s="14">
        <f>SUMIF(Assumptions!$B:$B,'P&amp;L and BS'!$B41,Assumptions!F:F)</f>
        <v>0</v>
      </c>
      <c r="G41" s="15">
        <f>SUMIF(Assumptions!$B:$B,'P&amp;L and BS'!$B41,Assumptions!G:G)</f>
        <v>1237.8399999999999</v>
      </c>
      <c r="H41" s="15">
        <f>SUMIF(Assumptions!$B:$B,'P&amp;L and BS'!$B41,Assumptions!H:H)</f>
        <v>1237.8399999999999</v>
      </c>
      <c r="I41" s="15">
        <f>SUMIF(Assumptions!$B:$B,'P&amp;L and BS'!$B41,Assumptions!I:I)</f>
        <v>1237.8399999999999</v>
      </c>
      <c r="J41" s="15">
        <f>SUMIF(Assumptions!$B:$B,'P&amp;L and BS'!$B41,Assumptions!J:J)</f>
        <v>1237.8399999999999</v>
      </c>
      <c r="K41" s="15">
        <f>SUMIF(Assumptions!$B:$B,'P&amp;L and BS'!$B41,Assumptions!K:K)</f>
        <v>1237.8399999999999</v>
      </c>
      <c r="M41" s="9" t="s">
        <v>303</v>
      </c>
    </row>
    <row r="42" spans="2:13" x14ac:dyDescent="0.15">
      <c r="B42" s="9" t="s">
        <v>150</v>
      </c>
      <c r="C42" s="14">
        <f>SUMIF(Assumptions!$B:$B,'P&amp;L and BS'!$B42,Assumptions!C:C)</f>
        <v>1620.54</v>
      </c>
      <c r="D42" s="14">
        <f>SUMIF(Assumptions!$B:$B,'P&amp;L and BS'!$B42,Assumptions!D:D)</f>
        <v>1531.6010000000001</v>
      </c>
      <c r="E42" s="14">
        <f>SUMIF(Assumptions!$B:$B,'P&amp;L and BS'!$B42,Assumptions!E:E)</f>
        <v>1834.7</v>
      </c>
      <c r="F42" s="14">
        <f>SUMIF(Assumptions!$B:$B,'P&amp;L and BS'!$B42,Assumptions!F:F)</f>
        <v>0</v>
      </c>
      <c r="G42" s="15">
        <f>SUMIF(Assumptions!$B:$B,'P&amp;L and BS'!$B42,Assumptions!G:G)</f>
        <v>1996.0574202739724</v>
      </c>
      <c r="H42" s="15">
        <f>SUMIF(Assumptions!$B:$B,'P&amp;L and BS'!$B42,Assumptions!H:H)</f>
        <v>2395.2689043287669</v>
      </c>
      <c r="I42" s="15">
        <f>SUMIF(Assumptions!$B:$B,'P&amp;L and BS'!$B42,Assumptions!I:I)</f>
        <v>2874.3226851945201</v>
      </c>
      <c r="J42" s="15">
        <f>SUMIF(Assumptions!$B:$B,'P&amp;L and BS'!$B42,Assumptions!J:J)</f>
        <v>3449.1872222334237</v>
      </c>
      <c r="K42" s="15">
        <f>SUMIF(Assumptions!$B:$B,'P&amp;L and BS'!$B42,Assumptions!K:K)</f>
        <v>4139.0246666801086</v>
      </c>
    </row>
    <row r="43" spans="2:13" x14ac:dyDescent="0.15">
      <c r="B43" s="9" t="s">
        <v>33</v>
      </c>
      <c r="C43" s="14">
        <f>SUMIF(Assumptions!$B:$B,'P&amp;L and BS'!$B43,Assumptions!C:C)</f>
        <v>1596.1</v>
      </c>
      <c r="D43" s="14">
        <f>SUMIF(Assumptions!$B:$B,'P&amp;L and BS'!$B43,Assumptions!D:D)</f>
        <v>930.73500000000001</v>
      </c>
      <c r="E43" s="14">
        <f>SUMIF(Assumptions!$B:$B,'P&amp;L and BS'!$B43,Assumptions!E:E)</f>
        <v>1327.194</v>
      </c>
      <c r="F43" s="14">
        <f>SUMIF(Assumptions!$B:$B,'P&amp;L and BS'!$B43,Assumptions!F:F)</f>
        <v>0</v>
      </c>
      <c r="G43" s="15">
        <f>SUMIF(Assumptions!$B:$B,'P&amp;L and BS'!$B43,Assumptions!G:G)</f>
        <v>1751.0263879779995</v>
      </c>
      <c r="H43" s="15">
        <f>SUMIF(Assumptions!$B:$B,'P&amp;L and BS'!$B43,Assumptions!H:H)</f>
        <v>2113.1761611435995</v>
      </c>
      <c r="I43" s="15">
        <f>SUMIF(Assumptions!$B:$B,'P&amp;L and BS'!$B43,Assumptions!I:I)</f>
        <v>2534.8011627388446</v>
      </c>
      <c r="J43" s="15">
        <f>SUMIF(Assumptions!$B:$B,'P&amp;L and BS'!$B43,Assumptions!J:J)</f>
        <v>3045.3955475297234</v>
      </c>
      <c r="K43" s="15">
        <f>SUMIF(Assumptions!$B:$B,'P&amp;L and BS'!$B43,Assumptions!K:K)</f>
        <v>3655.00555514907</v>
      </c>
    </row>
    <row r="44" spans="2:13" x14ac:dyDescent="0.15">
      <c r="B44" s="9" t="s">
        <v>319</v>
      </c>
      <c r="C44" s="14">
        <f>'BS source'!J10</f>
        <v>75426.076000000001</v>
      </c>
      <c r="D44" s="14">
        <f>'BS source'!K10</f>
        <v>86831.005999999994</v>
      </c>
      <c r="E44" s="14">
        <f>'BS source'!L10</f>
        <v>96070.035999999993</v>
      </c>
      <c r="F44" s="14"/>
      <c r="G44" s="15">
        <f>E44+G24</f>
        <v>119083.52567056799</v>
      </c>
      <c r="H44" s="15">
        <f>G44+H24</f>
        <v>146856.69807416957</v>
      </c>
      <c r="I44" s="15">
        <f>H44+I24</f>
        <v>180171.22764159439</v>
      </c>
      <c r="J44" s="15">
        <f>I44+J24</f>
        <v>220196.42626627075</v>
      </c>
      <c r="K44" s="15">
        <f>J44+K24</f>
        <v>268233.64213394426</v>
      </c>
      <c r="M44" s="9" t="s">
        <v>320</v>
      </c>
    </row>
    <row r="45" spans="2:13" ht="13" thickBot="1" x14ac:dyDescent="0.2">
      <c r="B45" s="30" t="s">
        <v>43</v>
      </c>
      <c r="C45" s="31">
        <f>SUM(C38:C44)</f>
        <v>132364.12</v>
      </c>
      <c r="D45" s="31">
        <f t="shared" ref="D45:E45" si="41">SUM(D38:D44)</f>
        <v>139397.21599999999</v>
      </c>
      <c r="E45" s="31">
        <f t="shared" si="41"/>
        <v>160222.37400000001</v>
      </c>
      <c r="F45" s="31">
        <f t="shared" ref="F45" si="42">SUM(F38:F44)</f>
        <v>0</v>
      </c>
      <c r="G45" s="31">
        <f t="shared" ref="G45" si="43">SUM(G38:G44)</f>
        <v>194845.09338073776</v>
      </c>
      <c r="H45" s="31">
        <f t="shared" ref="H45" si="44">SUM(H38:H44)</f>
        <v>234653.22683194329</v>
      </c>
      <c r="I45" s="31">
        <f t="shared" ref="I45" si="45">SUM(I38:I44)</f>
        <v>282829.0142787894</v>
      </c>
      <c r="J45" s="31">
        <f t="shared" ref="J45" si="46">SUM(J38:J44)</f>
        <v>341059.7871878728</v>
      </c>
      <c r="K45" s="31">
        <f t="shared" ref="K45" si="47">SUM(K38:K44)</f>
        <v>411252.89632199641</v>
      </c>
    </row>
    <row r="46" spans="2:13" x14ac:dyDescent="0.15">
      <c r="G46" s="14"/>
      <c r="H46" s="14"/>
      <c r="I46" s="14"/>
      <c r="J46" s="14"/>
      <c r="K46" s="14"/>
    </row>
    <row r="47" spans="2:13" x14ac:dyDescent="0.15">
      <c r="B47" s="9" t="s">
        <v>44</v>
      </c>
      <c r="C47" s="9">
        <f>C36-C45</f>
        <v>-1.2000000016996637E-2</v>
      </c>
      <c r="D47" s="9">
        <f t="shared" ref="D47:K47" si="48">D36-D45</f>
        <v>1.700000002165325E-2</v>
      </c>
      <c r="E47" s="9">
        <f t="shared" si="48"/>
        <v>-1.6999999992549419E-2</v>
      </c>
      <c r="G47" s="9">
        <f t="shared" si="48"/>
        <v>0</v>
      </c>
      <c r="H47" s="9">
        <f t="shared" si="48"/>
        <v>0</v>
      </c>
      <c r="I47" s="9">
        <f t="shared" si="48"/>
        <v>0</v>
      </c>
      <c r="J47" s="9">
        <f t="shared" si="48"/>
        <v>0</v>
      </c>
      <c r="K47" s="9">
        <f t="shared" si="48"/>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EAB93-D0BE-E84C-890E-889D3D7ABAF7}">
  <dimension ref="B1:R94"/>
  <sheetViews>
    <sheetView topLeftCell="A17" zoomScale="125" zoomScaleNormal="130" workbookViewId="0">
      <selection activeCell="E43" sqref="E43"/>
    </sheetView>
  </sheetViews>
  <sheetFormatPr baseColWidth="10" defaultColWidth="9.1640625" defaultRowHeight="12" x14ac:dyDescent="0.15"/>
  <cols>
    <col min="1" max="1" width="2" style="33" customWidth="1"/>
    <col min="2" max="2" width="51.5" style="33" customWidth="1"/>
    <col min="3" max="3" width="9.1640625" style="33" customWidth="1"/>
    <col min="4" max="4" width="9.5" style="33" bestFit="1" customWidth="1"/>
    <col min="5" max="5" width="9.1640625" style="33"/>
    <col min="6" max="6" width="2" style="33" customWidth="1"/>
    <col min="7" max="11" width="9.1640625" style="33"/>
    <col min="12" max="12" width="2" style="33" customWidth="1"/>
    <col min="13" max="15" width="9.1640625" style="33"/>
    <col min="16" max="16" width="12.83203125" style="33" bestFit="1" customWidth="1"/>
    <col min="17" max="16384" width="9.1640625" style="33"/>
  </cols>
  <sheetData>
    <row r="1" spans="2:18" ht="16" x14ac:dyDescent="0.2">
      <c r="B1" s="32" t="s">
        <v>7</v>
      </c>
      <c r="C1" s="32"/>
    </row>
    <row r="2" spans="2:18" x14ac:dyDescent="0.15">
      <c r="B2" s="33" t="s">
        <v>104</v>
      </c>
    </row>
    <row r="3" spans="2:18" ht="27" thickBot="1" x14ac:dyDescent="0.2">
      <c r="B3" s="86" t="s">
        <v>105</v>
      </c>
      <c r="C3" s="10"/>
      <c r="D3" s="11" t="s">
        <v>238</v>
      </c>
      <c r="E3" s="11" t="s">
        <v>239</v>
      </c>
      <c r="F3" s="12"/>
      <c r="G3" s="13" t="s">
        <v>240</v>
      </c>
      <c r="H3" s="13" t="s">
        <v>241</v>
      </c>
      <c r="I3" s="13" t="s">
        <v>242</v>
      </c>
      <c r="J3" s="13" t="s">
        <v>243</v>
      </c>
      <c r="K3" s="13" t="s">
        <v>244</v>
      </c>
      <c r="L3" s="9"/>
      <c r="M3" s="23" t="s">
        <v>34</v>
      </c>
    </row>
    <row r="4" spans="2:18" x14ac:dyDescent="0.15">
      <c r="B4" s="33" t="s">
        <v>97</v>
      </c>
      <c r="D4" s="33">
        <f>'P&amp;L and BS'!D24</f>
        <v>14829.144</v>
      </c>
      <c r="E4" s="33">
        <f>'P&amp;L and BS'!E24</f>
        <v>17449.089</v>
      </c>
      <c r="F4" s="33">
        <f>'P&amp;L and BS'!F24</f>
        <v>0</v>
      </c>
      <c r="G4" s="33">
        <f>'P&amp;L and BS'!G24</f>
        <v>23013.489670567993</v>
      </c>
      <c r="H4" s="33">
        <f>'P&amp;L and BS'!H24</f>
        <v>27773.172403601588</v>
      </c>
      <c r="I4" s="33">
        <f>'P&amp;L and BS'!I24</f>
        <v>33314.529567424812</v>
      </c>
      <c r="J4" s="33">
        <f>'P&amp;L and BS'!J24</f>
        <v>40025.198624676363</v>
      </c>
      <c r="K4" s="33">
        <f>'P&amp;L and BS'!K24</f>
        <v>48037.215867673491</v>
      </c>
    </row>
    <row r="5" spans="2:18" x14ac:dyDescent="0.15">
      <c r="B5" s="33" t="s">
        <v>322</v>
      </c>
      <c r="D5" s="33">
        <f>ABS('P&amp;L and BS'!D22)</f>
        <v>232.41399999999999</v>
      </c>
      <c r="E5" s="33">
        <f>ABS('P&amp;L and BS'!E22)</f>
        <v>1450.7070000000001</v>
      </c>
      <c r="F5" s="33">
        <f>ABS('P&amp;L and BS'!F22)</f>
        <v>0</v>
      </c>
      <c r="G5" s="33">
        <f>ABS('P&amp;L and BS'!G22)</f>
        <v>2001.1730148319994</v>
      </c>
      <c r="H5" s="33">
        <f>ABS('P&amp;L and BS'!H22)</f>
        <v>2415.0584698783991</v>
      </c>
      <c r="I5" s="33">
        <f>ABS('P&amp;L and BS'!I22)</f>
        <v>2896.9156145586794</v>
      </c>
      <c r="J5" s="33">
        <f>ABS('P&amp;L and BS'!J22)</f>
        <v>3480.4520543196841</v>
      </c>
      <c r="K5" s="33">
        <f>ABS('P&amp;L and BS'!K22)</f>
        <v>4177.1492058846516</v>
      </c>
    </row>
    <row r="6" spans="2:18" x14ac:dyDescent="0.15">
      <c r="B6" s="24" t="s">
        <v>318</v>
      </c>
      <c r="C6" s="25"/>
      <c r="D6" s="25">
        <f>D4+D5</f>
        <v>15061.558000000001</v>
      </c>
      <c r="E6" s="25">
        <f t="shared" ref="E6:K6" si="0">E4+E5</f>
        <v>18899.795999999998</v>
      </c>
      <c r="F6" s="25">
        <f t="shared" si="0"/>
        <v>0</v>
      </c>
      <c r="G6" s="25">
        <f t="shared" si="0"/>
        <v>25014.662685399991</v>
      </c>
      <c r="H6" s="25">
        <f t="shared" si="0"/>
        <v>30188.230873479988</v>
      </c>
      <c r="I6" s="25">
        <f t="shared" si="0"/>
        <v>36211.445181983494</v>
      </c>
      <c r="J6" s="25">
        <f t="shared" si="0"/>
        <v>43505.650678996048</v>
      </c>
      <c r="K6" s="25">
        <f t="shared" si="0"/>
        <v>52214.36507355814</v>
      </c>
    </row>
    <row r="8" spans="2:18" ht="13" customHeight="1" x14ac:dyDescent="0.15">
      <c r="B8" s="43" t="s">
        <v>323</v>
      </c>
      <c r="M8" s="182" t="s">
        <v>338</v>
      </c>
      <c r="N8" s="182"/>
      <c r="O8" s="182"/>
      <c r="P8" s="182"/>
      <c r="Q8" s="182"/>
      <c r="R8" s="182"/>
    </row>
    <row r="9" spans="2:18" x14ac:dyDescent="0.15">
      <c r="B9" s="33" t="s">
        <v>27</v>
      </c>
      <c r="D9" s="33">
        <f>'CF source'!E8+'CF source'!E9</f>
        <v>1530.6999999999998</v>
      </c>
      <c r="E9" s="33">
        <f>'CF source'!F8+'CF source'!F9</f>
        <v>1538.6679999999999</v>
      </c>
      <c r="F9" s="33">
        <f>'CF source'!G8+'CF source'!G9</f>
        <v>0</v>
      </c>
      <c r="G9" s="33">
        <f>ABS('P&amp;L and BS'!G11)</f>
        <v>1704.2361599999999</v>
      </c>
      <c r="H9" s="33">
        <f>ABS('P&amp;L and BS'!H11)</f>
        <v>2045.0833919999995</v>
      </c>
      <c r="I9" s="33">
        <f>ABS('P&amp;L and BS'!I11)</f>
        <v>2454.1000703999994</v>
      </c>
      <c r="J9" s="33">
        <f>ABS('P&amp;L and BS'!J11)</f>
        <v>2944.9200844799989</v>
      </c>
      <c r="K9" s="33">
        <f>ABS('P&amp;L and BS'!K11)</f>
        <v>3533.9041013759988</v>
      </c>
      <c r="M9" s="182"/>
      <c r="N9" s="182"/>
      <c r="O9" s="182"/>
      <c r="P9" s="182"/>
      <c r="Q9" s="182"/>
      <c r="R9" s="182"/>
    </row>
    <row r="10" spans="2:18" ht="12" customHeight="1" x14ac:dyDescent="0.15">
      <c r="B10" s="33" t="s">
        <v>324</v>
      </c>
      <c r="D10" s="33">
        <f>SUM('CF source'!E22:E28)</f>
        <v>2662.2749999999996</v>
      </c>
      <c r="E10" s="33">
        <f>SUM('CF source'!F22:F28)</f>
        <v>5394.3899999999994</v>
      </c>
      <c r="G10" s="33">
        <f>('P&amp;L and BS'!G30-'P&amp;L and BS'!E30)+('P&amp;L and BS'!G34-'P&amp;L and BS'!E34)+('P&amp;L and BS'!G32-'P&amp;L and BS'!E32)+('P&amp;L and BS'!G39-'P&amp;L and BS'!E39)-('P&amp;L and BS'!G38-'P&amp;L and BS'!E38)-('P&amp;L and BS'!G42-'P&amp;L and BS'!E42)-('P&amp;L and BS'!G41+'P&amp;L and BS'!E41)</f>
        <v>601.80865589039695</v>
      </c>
      <c r="H10" s="33">
        <f>('P&amp;L and BS'!H30-'P&amp;L and BS'!G30)+('P&amp;L and BS'!H34-'P&amp;L and BS'!G34)+('P&amp;L and BS'!H32-'P&amp;L and BS'!G32)+('P&amp;L and BS'!H39-'P&amp;L and BS'!G39)-('P&amp;L and BS'!H38-'P&amp;L and BS'!G38)-('P&amp;L and BS'!H42-'P&amp;L and BS'!G42)-('P&amp;L and BS'!H41+'P&amp;L and BS'!G41)</f>
        <v>14884.183131178077</v>
      </c>
      <c r="I10" s="33">
        <f>('P&amp;L and BS'!I30-'P&amp;L and BS'!H30)+('P&amp;L and BS'!I34-'P&amp;L and BS'!H34)+('P&amp;L and BS'!I32-'P&amp;L and BS'!H32)+('P&amp;L and BS'!I39-'P&amp;L and BS'!H39)-('P&amp;L and BS'!I38-'P&amp;L and BS'!H38)-('P&amp;L and BS'!I42-'P&amp;L and BS'!H42)-('P&amp;L and BS'!I41+'P&amp;L and BS'!H41)</f>
        <v>18356.155757413682</v>
      </c>
      <c r="J10" s="33">
        <f>('P&amp;L and BS'!J30-'P&amp;L and BS'!I30)+('P&amp;L and BS'!J34-'P&amp;L and BS'!I34)+('P&amp;L and BS'!J32-'P&amp;L and BS'!I32)+('P&amp;L and BS'!J39-'P&amp;L and BS'!I39)-('P&amp;L and BS'!J38-'P&amp;L and BS'!I38)-('P&amp;L and BS'!J42-'P&amp;L and BS'!I42)-('P&amp;L and BS'!J41+'P&amp;L and BS'!I41)</f>
        <v>22522.522908896422</v>
      </c>
      <c r="K10" s="33">
        <f>('P&amp;L and BS'!K30-'P&amp;L and BS'!J30)+('P&amp;L and BS'!K34-'P&amp;L and BS'!J34)+('P&amp;L and BS'!K32-'P&amp;L and BS'!J32)+('P&amp;L and BS'!K39-'P&amp;L and BS'!J39)-('P&amp;L and BS'!K38-'P&amp;L and BS'!J38)-('P&amp;L and BS'!K42-'P&amp;L and BS'!J42)-('P&amp;L and BS'!K41+'P&amp;L and BS'!J41)</f>
        <v>27522.163490675714</v>
      </c>
      <c r="M10" s="182"/>
      <c r="N10" s="182"/>
      <c r="O10" s="182"/>
      <c r="P10" s="182"/>
      <c r="Q10" s="182"/>
      <c r="R10" s="182"/>
    </row>
    <row r="11" spans="2:18" ht="13" customHeight="1" x14ac:dyDescent="0.15">
      <c r="B11" s="33" t="s">
        <v>325</v>
      </c>
      <c r="D11" s="33">
        <f>SUM('CF source'!E7,'CF source'!E10:E19)</f>
        <v>576.70799999999986</v>
      </c>
      <c r="E11" s="33">
        <f>SUM('CF source'!F7,'CF source'!F10:F19)</f>
        <v>-1351.3760000000002</v>
      </c>
      <c r="G11" s="33">
        <v>0</v>
      </c>
      <c r="H11" s="33">
        <v>0</v>
      </c>
      <c r="I11" s="33">
        <v>0</v>
      </c>
      <c r="J11" s="33">
        <v>0</v>
      </c>
      <c r="K11" s="33">
        <v>0</v>
      </c>
      <c r="M11" s="182"/>
      <c r="N11" s="182"/>
      <c r="O11" s="182"/>
      <c r="P11" s="182"/>
      <c r="Q11" s="182"/>
      <c r="R11" s="182"/>
    </row>
    <row r="12" spans="2:18" ht="13" thickBot="1" x14ac:dyDescent="0.2">
      <c r="B12" s="132" t="s">
        <v>326</v>
      </c>
      <c r="C12" s="132"/>
      <c r="D12" s="132">
        <f>SUM(D6,D9:D11)</f>
        <v>19831.241000000002</v>
      </c>
      <c r="E12" s="132">
        <f>SUM(E6,E9:E11)</f>
        <v>24481.477999999999</v>
      </c>
      <c r="F12" s="132">
        <f t="shared" ref="F12:K12" si="1">SUM(F6,F9:F11)</f>
        <v>0</v>
      </c>
      <c r="G12" s="132">
        <f>SUM(G6,G9:G11)</f>
        <v>27320.707501290388</v>
      </c>
      <c r="H12" s="132">
        <f t="shared" si="1"/>
        <v>47117.497396658066</v>
      </c>
      <c r="I12" s="132">
        <f t="shared" si="1"/>
        <v>57021.701009797172</v>
      </c>
      <c r="J12" s="132">
        <f t="shared" si="1"/>
        <v>68973.093672372474</v>
      </c>
      <c r="K12" s="132">
        <f t="shared" si="1"/>
        <v>83270.432665609856</v>
      </c>
      <c r="M12" s="182"/>
      <c r="N12" s="182"/>
      <c r="O12" s="182"/>
      <c r="P12" s="182"/>
      <c r="Q12" s="182"/>
      <c r="R12" s="182"/>
    </row>
    <row r="14" spans="2:18" x14ac:dyDescent="0.15">
      <c r="B14" s="43" t="s">
        <v>327</v>
      </c>
    </row>
    <row r="15" spans="2:18" x14ac:dyDescent="0.15">
      <c r="B15" s="133" t="s">
        <v>335</v>
      </c>
      <c r="D15" s="33">
        <f>'CF source'!E37+'CF source'!E39</f>
        <v>-1172.9630000000002</v>
      </c>
      <c r="E15" s="33">
        <f>'CF source'!F37+'CF source'!F39</f>
        <v>-1280.569</v>
      </c>
      <c r="G15" s="33">
        <f>Assumptions!G139</f>
        <v>-1325.3889149999998</v>
      </c>
      <c r="H15" s="33">
        <f>Assumptions!H139</f>
        <v>-1371.7775270249997</v>
      </c>
      <c r="I15" s="33">
        <f>Assumptions!I139</f>
        <v>-1419.7897404708747</v>
      </c>
      <c r="J15" s="33">
        <f>Assumptions!J139</f>
        <v>-1469.4823813873552</v>
      </c>
      <c r="K15" s="33">
        <f>Assumptions!K139</f>
        <v>-1520.9142647359124</v>
      </c>
    </row>
    <row r="16" spans="2:18" ht="15" customHeight="1" x14ac:dyDescent="0.15">
      <c r="B16" s="133" t="s">
        <v>328</v>
      </c>
      <c r="D16" s="33">
        <f>SUM('CF source'!E32:E36,'CF source'!E38,'CF source'!E40:E45)</f>
        <v>-4136.2109999999993</v>
      </c>
      <c r="E16" s="33">
        <f>SUM('CF source'!F32:F36,'CF source'!F38,'CF source'!F40:F45)</f>
        <v>-989.65100000000007</v>
      </c>
      <c r="G16" s="33">
        <f>$E$16</f>
        <v>-989.65100000000007</v>
      </c>
      <c r="H16" s="33">
        <f t="shared" ref="H16:K16" si="2">$E$16</f>
        <v>-989.65100000000007</v>
      </c>
      <c r="I16" s="33">
        <f t="shared" si="2"/>
        <v>-989.65100000000007</v>
      </c>
      <c r="J16" s="33">
        <f t="shared" si="2"/>
        <v>-989.65100000000007</v>
      </c>
      <c r="K16" s="33">
        <f t="shared" si="2"/>
        <v>-989.65100000000007</v>
      </c>
      <c r="M16" s="33" t="s">
        <v>303</v>
      </c>
    </row>
    <row r="17" spans="2:13" ht="16" customHeight="1" thickBot="1" x14ac:dyDescent="0.2">
      <c r="B17" s="132" t="s">
        <v>329</v>
      </c>
      <c r="C17" s="132"/>
      <c r="D17" s="132">
        <f>SUM(D15:D16)</f>
        <v>-5309.1739999999991</v>
      </c>
      <c r="E17" s="132">
        <f>SUM(E15:E16)</f>
        <v>-2270.2200000000003</v>
      </c>
      <c r="F17" s="132">
        <f t="shared" ref="F17:K17" si="3">SUM(F15:F16)</f>
        <v>0</v>
      </c>
      <c r="G17" s="132">
        <f t="shared" si="3"/>
        <v>-2315.0399149999998</v>
      </c>
      <c r="H17" s="132">
        <f t="shared" si="3"/>
        <v>-2361.4285270249998</v>
      </c>
      <c r="I17" s="132">
        <f t="shared" si="3"/>
        <v>-2409.4407404708745</v>
      </c>
      <c r="J17" s="132">
        <f t="shared" si="3"/>
        <v>-2459.1333813873553</v>
      </c>
      <c r="K17" s="132">
        <f t="shared" si="3"/>
        <v>-2510.5652647359125</v>
      </c>
    </row>
    <row r="19" spans="2:13" x14ac:dyDescent="0.15">
      <c r="B19" s="43" t="s">
        <v>330</v>
      </c>
    </row>
    <row r="20" spans="2:13" ht="14" customHeight="1" x14ac:dyDescent="0.15">
      <c r="B20" s="33" t="s">
        <v>331</v>
      </c>
      <c r="D20" s="33">
        <f>SUM('CF source'!E49:E50,'CF source'!E52)</f>
        <v>-3122.4139999999998</v>
      </c>
      <c r="E20" s="33">
        <f>SUM('CF source'!F49:F50,'CF source'!F52)</f>
        <v>-687.91</v>
      </c>
      <c r="G20" s="33">
        <f>'P&amp;L and BS'!G40-'P&amp;L and BS'!E40</f>
        <v>-1452.972600000001</v>
      </c>
      <c r="H20" s="33">
        <f>'P&amp;L and BS'!H40-'P&amp;L and BS'!G40</f>
        <v>-1235.0267100000001</v>
      </c>
      <c r="I20" s="33">
        <f>'P&amp;L and BS'!I40-'P&amp;L and BS'!H40</f>
        <v>-1049.7727034999998</v>
      </c>
      <c r="J20" s="33">
        <f>'P&amp;L and BS'!J40-'P&amp;L and BS'!I40</f>
        <v>-892.30679797500034</v>
      </c>
      <c r="K20" s="33">
        <f>'P&amp;L and BS'!K40-'P&amp;L and BS'!J40</f>
        <v>-758.46077827874979</v>
      </c>
      <c r="M20" s="33" t="s">
        <v>340</v>
      </c>
    </row>
    <row r="21" spans="2:13" x14ac:dyDescent="0.15">
      <c r="B21" s="33" t="s">
        <v>332</v>
      </c>
      <c r="D21" s="33">
        <f>'CF source'!E51</f>
        <v>-2906.877</v>
      </c>
      <c r="E21" s="33">
        <f>'CF source'!F51</f>
        <v>-7289.4110000000001</v>
      </c>
      <c r="G21" s="33">
        <f>Assumptions!G145</f>
        <v>-9205.3958682271968</v>
      </c>
      <c r="H21" s="33">
        <f>Assumptions!H145</f>
        <v>-11109.268961440635</v>
      </c>
      <c r="I21" s="33">
        <f>Assumptions!I145</f>
        <v>-13325.811826969926</v>
      </c>
      <c r="J21" s="33">
        <f>Assumptions!J145</f>
        <v>-16010.079449870545</v>
      </c>
      <c r="K21" s="33">
        <f>Assumptions!K145</f>
        <v>-19214.886347069398</v>
      </c>
    </row>
    <row r="22" spans="2:13" ht="12" customHeight="1" x14ac:dyDescent="0.15">
      <c r="B22" s="33" t="s">
        <v>337</v>
      </c>
      <c r="D22" s="33">
        <f>'CF source'!E54</f>
        <v>15.263999999999999</v>
      </c>
      <c r="E22" s="33">
        <f>'CF source'!F54</f>
        <v>-12.28</v>
      </c>
      <c r="G22" s="33">
        <v>0</v>
      </c>
      <c r="H22" s="33">
        <v>0</v>
      </c>
      <c r="I22" s="33">
        <v>0</v>
      </c>
      <c r="J22" s="33">
        <v>0</v>
      </c>
      <c r="K22" s="33">
        <v>0</v>
      </c>
      <c r="M22" s="33" t="s">
        <v>341</v>
      </c>
    </row>
    <row r="23" spans="2:13" x14ac:dyDescent="0.15">
      <c r="B23" s="33" t="s">
        <v>336</v>
      </c>
      <c r="D23" s="33">
        <f>SUM('CF source'!E53,'CF source'!E55:E57)</f>
        <v>-171.511</v>
      </c>
      <c r="E23" s="33">
        <f>SUM('CF source'!F53,'CF source'!F55:F57)</f>
        <v>-770.1579999999999</v>
      </c>
      <c r="G23" s="33">
        <f>Assumptions!G151</f>
        <v>-150</v>
      </c>
      <c r="H23" s="33">
        <f>Assumptions!H151</f>
        <v>-150</v>
      </c>
      <c r="I23" s="33">
        <f>Assumptions!I151</f>
        <v>-150</v>
      </c>
      <c r="J23" s="33">
        <f>Assumptions!J151</f>
        <v>-150</v>
      </c>
      <c r="K23" s="33">
        <f>Assumptions!K151</f>
        <v>-150</v>
      </c>
    </row>
    <row r="24" spans="2:13" ht="13" customHeight="1" thickBot="1" x14ac:dyDescent="0.2">
      <c r="B24" s="88" t="s">
        <v>334</v>
      </c>
      <c r="C24" s="132"/>
      <c r="D24" s="132">
        <f>SUM(D20:D23)</f>
        <v>-6185.5379999999996</v>
      </c>
      <c r="E24" s="132">
        <f t="shared" ref="E24" si="4">SUM(E20:E23)</f>
        <v>-8759.759</v>
      </c>
      <c r="F24" s="132">
        <f t="shared" ref="F24" si="5">SUM(F20:F23)</f>
        <v>0</v>
      </c>
      <c r="G24" s="132">
        <f t="shared" ref="G24" si="6">SUM(G20:G23)</f>
        <v>-10808.368468227198</v>
      </c>
      <c r="H24" s="132">
        <f t="shared" ref="H24" si="7">SUM(H20:H23)</f>
        <v>-12494.295671440635</v>
      </c>
      <c r="I24" s="132">
        <f t="shared" ref="I24" si="8">SUM(I20:I23)</f>
        <v>-14525.584530469925</v>
      </c>
      <c r="J24" s="132">
        <f t="shared" ref="J24" si="9">SUM(J20:J23)</f>
        <v>-17052.386247845545</v>
      </c>
      <c r="K24" s="132">
        <f t="shared" ref="K24" si="10">SUM(K20:K23)</f>
        <v>-20123.347125348148</v>
      </c>
    </row>
    <row r="26" spans="2:13" x14ac:dyDescent="0.15">
      <c r="B26" s="26" t="s">
        <v>223</v>
      </c>
      <c r="D26" s="33">
        <f>D12+D17+D24</f>
        <v>8336.5290000000023</v>
      </c>
      <c r="E26" s="33">
        <f>E12+E17+E24</f>
        <v>13451.498999999998</v>
      </c>
      <c r="F26" s="33">
        <f t="shared" ref="F26:K26" si="11">F12+F17+F24</f>
        <v>0</v>
      </c>
      <c r="G26" s="33">
        <f>G12+G17+G24</f>
        <v>14197.299118063189</v>
      </c>
      <c r="H26" s="33">
        <f t="shared" si="11"/>
        <v>32261.773198192433</v>
      </c>
      <c r="I26" s="33">
        <f t="shared" si="11"/>
        <v>40086.675738856371</v>
      </c>
      <c r="J26" s="33">
        <f t="shared" si="11"/>
        <v>49461.574043139582</v>
      </c>
      <c r="K26" s="33">
        <f t="shared" si="11"/>
        <v>60636.5202755258</v>
      </c>
    </row>
    <row r="27" spans="2:13" x14ac:dyDescent="0.15">
      <c r="B27" s="93" t="s">
        <v>224</v>
      </c>
      <c r="D27" s="33">
        <f>'CF source'!E61</f>
        <v>-257.01499999999999</v>
      </c>
      <c r="E27" s="33">
        <f>'CF source'!F61</f>
        <v>-444.05900000000003</v>
      </c>
      <c r="G27" s="33">
        <f>AVERAGE($D$27:$E$27)</f>
        <v>-350.53700000000003</v>
      </c>
      <c r="H27" s="33">
        <f t="shared" ref="H27:K27" si="12">AVERAGE($D$27:$E$27)</f>
        <v>-350.53700000000003</v>
      </c>
      <c r="I27" s="33">
        <f t="shared" si="12"/>
        <v>-350.53700000000003</v>
      </c>
      <c r="J27" s="33">
        <f t="shared" si="12"/>
        <v>-350.53700000000003</v>
      </c>
      <c r="K27" s="33">
        <f t="shared" si="12"/>
        <v>-350.53700000000003</v>
      </c>
      <c r="M27" s="33" t="s">
        <v>343</v>
      </c>
    </row>
    <row r="28" spans="2:13" x14ac:dyDescent="0.15">
      <c r="B28" s="93" t="s">
        <v>225</v>
      </c>
      <c r="D28" s="33">
        <f>'CF source'!D63</f>
        <v>17545.056</v>
      </c>
      <c r="E28" s="33">
        <f>D29</f>
        <v>25624.570000000003</v>
      </c>
      <c r="G28" s="33">
        <f>E29</f>
        <v>38632.01</v>
      </c>
      <c r="H28" s="33">
        <f>G29</f>
        <v>52478.772118063192</v>
      </c>
      <c r="I28" s="33">
        <f>H29</f>
        <v>84390.008316255626</v>
      </c>
      <c r="J28" s="33">
        <f>I29</f>
        <v>124126.147055112</v>
      </c>
      <c r="K28" s="33">
        <f>J29</f>
        <v>173237.18409825157</v>
      </c>
    </row>
    <row r="29" spans="2:13" x14ac:dyDescent="0.15">
      <c r="B29" s="94" t="s">
        <v>226</v>
      </c>
      <c r="C29" s="134"/>
      <c r="D29" s="134">
        <f>SUM(D26:D28)</f>
        <v>25624.570000000003</v>
      </c>
      <c r="E29" s="134">
        <f>SUM(E26:E28)</f>
        <v>38632.01</v>
      </c>
      <c r="F29" s="134">
        <f t="shared" ref="F29:K29" si="13">SUM(F26:F28)</f>
        <v>0</v>
      </c>
      <c r="G29" s="134">
        <f>SUM(G26:G28)</f>
        <v>52478.772118063192</v>
      </c>
      <c r="H29" s="134">
        <f t="shared" si="13"/>
        <v>84390.008316255626</v>
      </c>
      <c r="I29" s="134">
        <f t="shared" si="13"/>
        <v>124126.147055112</v>
      </c>
      <c r="J29" s="134">
        <f t="shared" si="13"/>
        <v>173237.18409825157</v>
      </c>
      <c r="K29" s="134">
        <f t="shared" si="13"/>
        <v>233523.16737377737</v>
      </c>
    </row>
    <row r="30" spans="2:13" ht="12" customHeight="1" x14ac:dyDescent="0.15"/>
    <row r="31" spans="2:13" x14ac:dyDescent="0.15">
      <c r="B31" s="33" t="s">
        <v>44</v>
      </c>
      <c r="C31" s="49"/>
      <c r="D31" s="33">
        <f>D28-'CF source'!D63</f>
        <v>0</v>
      </c>
      <c r="E31" s="33">
        <f>E28-D29</f>
        <v>0</v>
      </c>
      <c r="F31" s="33">
        <f t="shared" ref="F31" si="14">G28-F29</f>
        <v>38632.01</v>
      </c>
      <c r="G31" s="33">
        <f>G28-E29</f>
        <v>0</v>
      </c>
      <c r="H31" s="33">
        <f>H28-G29</f>
        <v>0</v>
      </c>
      <c r="I31" s="33">
        <f>I28-H29</f>
        <v>0</v>
      </c>
      <c r="J31" s="33">
        <f>J28-I29</f>
        <v>0</v>
      </c>
      <c r="K31" s="33">
        <f>K28-J29</f>
        <v>0</v>
      </c>
    </row>
    <row r="32" spans="2:13" x14ac:dyDescent="0.15">
      <c r="B32" s="33" t="s">
        <v>351</v>
      </c>
      <c r="D32" s="136" t="str">
        <f>IF(ABS(D31)&lt;1, "✅", "⚠️")</f>
        <v>✅</v>
      </c>
      <c r="E32" s="136" t="str">
        <f t="shared" ref="E32:K32" si="15">IF(ABS(E31)&lt;1, "✅", "⚠️")</f>
        <v>✅</v>
      </c>
      <c r="F32" s="136"/>
      <c r="G32" s="136" t="str">
        <f t="shared" si="15"/>
        <v>✅</v>
      </c>
      <c r="H32" s="136" t="str">
        <f t="shared" si="15"/>
        <v>✅</v>
      </c>
      <c r="I32" s="136" t="str">
        <f t="shared" si="15"/>
        <v>✅</v>
      </c>
      <c r="J32" s="136" t="str">
        <f t="shared" si="15"/>
        <v>✅</v>
      </c>
      <c r="K32" s="136" t="str">
        <f t="shared" si="15"/>
        <v>✅</v>
      </c>
    </row>
    <row r="33" spans="2:15" x14ac:dyDescent="0.15">
      <c r="B33" s="183" t="s">
        <v>352</v>
      </c>
      <c r="C33" s="184"/>
    </row>
    <row r="34" spans="2:15" x14ac:dyDescent="0.15">
      <c r="B34" s="185"/>
      <c r="C34" s="186"/>
    </row>
    <row r="35" spans="2:15" x14ac:dyDescent="0.15">
      <c r="B35" s="187"/>
      <c r="C35" s="188"/>
    </row>
    <row r="37" spans="2:15" ht="27" thickBot="1" x14ac:dyDescent="0.2">
      <c r="B37" s="86" t="s">
        <v>134</v>
      </c>
      <c r="C37" s="10"/>
      <c r="D37" s="11" t="s">
        <v>238</v>
      </c>
      <c r="E37" s="11" t="s">
        <v>239</v>
      </c>
      <c r="F37" s="12"/>
      <c r="G37" s="13" t="s">
        <v>240</v>
      </c>
      <c r="H37" s="13" t="s">
        <v>241</v>
      </c>
      <c r="I37" s="13" t="s">
        <v>242</v>
      </c>
      <c r="J37" s="13" t="s">
        <v>243</v>
      </c>
      <c r="K37" s="13" t="s">
        <v>244</v>
      </c>
      <c r="L37" s="9"/>
      <c r="M37" s="23" t="s">
        <v>34</v>
      </c>
    </row>
    <row r="38" spans="2:15" ht="13" x14ac:dyDescent="0.15">
      <c r="B38" s="137" t="s">
        <v>353</v>
      </c>
      <c r="M38" s="189" t="s">
        <v>354</v>
      </c>
      <c r="N38" s="189"/>
      <c r="O38" s="189"/>
    </row>
    <row r="39" spans="2:15" x14ac:dyDescent="0.15">
      <c r="B39" s="133" t="s">
        <v>36</v>
      </c>
      <c r="D39" s="33">
        <f>'P&amp;L and BS'!D12</f>
        <v>13007.781000000001</v>
      </c>
      <c r="E39" s="33">
        <f>'P&amp;L and BS'!E12</f>
        <v>16136.338999999998</v>
      </c>
      <c r="F39" s="33">
        <f>'P&amp;L and BS'!F12</f>
        <v>0</v>
      </c>
      <c r="G39" s="33">
        <f>'P&amp;L and BS'!G12</f>
        <v>20876.892959999994</v>
      </c>
      <c r="H39" s="33">
        <f>'P&amp;L and BS'!H12</f>
        <v>25052.271551999991</v>
      </c>
      <c r="I39" s="33">
        <f>'P&amp;L and BS'!I12</f>
        <v>30062.725862399995</v>
      </c>
      <c r="J39" s="33">
        <f>'P&amp;L and BS'!J12</f>
        <v>36075.271034879981</v>
      </c>
      <c r="K39" s="33">
        <f>'P&amp;L and BS'!K12</f>
        <v>43290.325241855979</v>
      </c>
      <c r="M39" s="189"/>
      <c r="N39" s="189"/>
      <c r="O39" s="189"/>
    </row>
    <row r="40" spans="2:15" x14ac:dyDescent="0.15">
      <c r="B40" s="133" t="s">
        <v>355</v>
      </c>
      <c r="D40" s="138">
        <f>'P&amp;L and BS'!D21</f>
        <v>1.5430940145767123E-2</v>
      </c>
      <c r="E40" s="138">
        <f>'P&amp;L and BS'!E21</f>
        <v>7.6757812624009283E-2</v>
      </c>
      <c r="F40" s="138"/>
      <c r="G40" s="138">
        <f>'P&amp;L and BS'!G21</f>
        <v>0.08</v>
      </c>
      <c r="H40" s="138">
        <f>'P&amp;L and BS'!H21</f>
        <v>0.08</v>
      </c>
      <c r="I40" s="138">
        <f>'P&amp;L and BS'!I21</f>
        <v>0.08</v>
      </c>
      <c r="J40" s="138">
        <f>'P&amp;L and BS'!J21</f>
        <v>0.08</v>
      </c>
      <c r="K40" s="138">
        <f>'P&amp;L and BS'!K21</f>
        <v>0.08</v>
      </c>
      <c r="M40" s="189"/>
      <c r="N40" s="189"/>
      <c r="O40" s="189"/>
    </row>
    <row r="41" spans="2:15" x14ac:dyDescent="0.15">
      <c r="B41" s="139" t="s">
        <v>356</v>
      </c>
      <c r="C41" s="139"/>
      <c r="D41" s="139">
        <f>D39*(1-D40)</f>
        <v>12807.058709959754</v>
      </c>
      <c r="E41" s="139">
        <f t="shared" ref="E41:K41" si="16">E39*(1-E40)</f>
        <v>14897.748914600505</v>
      </c>
      <c r="F41" s="139">
        <f t="shared" si="16"/>
        <v>0</v>
      </c>
      <c r="G41" s="139">
        <f t="shared" si="16"/>
        <v>19206.741523199995</v>
      </c>
      <c r="H41" s="139">
        <f t="shared" si="16"/>
        <v>23048.089827839995</v>
      </c>
      <c r="I41" s="139">
        <f t="shared" si="16"/>
        <v>27657.707793407997</v>
      </c>
      <c r="J41" s="139">
        <f t="shared" si="16"/>
        <v>33189.24935208958</v>
      </c>
      <c r="K41" s="139">
        <f t="shared" si="16"/>
        <v>39827.099222507502</v>
      </c>
      <c r="M41" s="189"/>
      <c r="N41" s="189"/>
      <c r="O41" s="189"/>
    </row>
    <row r="42" spans="2:15" x14ac:dyDescent="0.15">
      <c r="M42" s="189"/>
      <c r="N42" s="189"/>
      <c r="O42" s="189"/>
    </row>
    <row r="43" spans="2:15" x14ac:dyDescent="0.15">
      <c r="B43" s="33" t="s">
        <v>357</v>
      </c>
      <c r="D43" s="33">
        <f>D9</f>
        <v>1530.6999999999998</v>
      </c>
      <c r="E43" s="33">
        <f t="shared" ref="E43:K43" si="17">E9</f>
        <v>1538.6679999999999</v>
      </c>
      <c r="F43" s="33">
        <f t="shared" si="17"/>
        <v>0</v>
      </c>
      <c r="G43" s="33">
        <f t="shared" si="17"/>
        <v>1704.2361599999999</v>
      </c>
      <c r="H43" s="33">
        <f t="shared" si="17"/>
        <v>2045.0833919999995</v>
      </c>
      <c r="I43" s="33">
        <f t="shared" si="17"/>
        <v>2454.1000703999994</v>
      </c>
      <c r="J43" s="33">
        <f t="shared" si="17"/>
        <v>2944.9200844799989</v>
      </c>
      <c r="K43" s="33">
        <f t="shared" si="17"/>
        <v>3533.9041013759988</v>
      </c>
      <c r="M43" s="189"/>
      <c r="N43" s="189"/>
      <c r="O43" s="189"/>
    </row>
    <row r="44" spans="2:15" x14ac:dyDescent="0.15">
      <c r="B44" s="33" t="s">
        <v>358</v>
      </c>
      <c r="D44" s="33">
        <f>D15</f>
        <v>-1172.9630000000002</v>
      </c>
      <c r="E44" s="33">
        <f t="shared" ref="E44:K44" si="18">E15</f>
        <v>-1280.569</v>
      </c>
      <c r="F44" s="33">
        <f t="shared" si="18"/>
        <v>0</v>
      </c>
      <c r="G44" s="33">
        <f t="shared" si="18"/>
        <v>-1325.3889149999998</v>
      </c>
      <c r="H44" s="33">
        <f t="shared" si="18"/>
        <v>-1371.7775270249997</v>
      </c>
      <c r="I44" s="33">
        <f t="shared" si="18"/>
        <v>-1419.7897404708747</v>
      </c>
      <c r="J44" s="33">
        <f t="shared" si="18"/>
        <v>-1469.4823813873552</v>
      </c>
      <c r="K44" s="33">
        <f t="shared" si="18"/>
        <v>-1520.9142647359124</v>
      </c>
      <c r="M44" s="189"/>
      <c r="N44" s="189"/>
      <c r="O44" s="189"/>
    </row>
    <row r="45" spans="2:15" x14ac:dyDescent="0.15">
      <c r="B45" s="33" t="s">
        <v>359</v>
      </c>
      <c r="D45" s="33">
        <f>D10</f>
        <v>2662.2749999999996</v>
      </c>
      <c r="E45" s="33">
        <f t="shared" ref="E45:K45" si="19">E10</f>
        <v>5394.3899999999994</v>
      </c>
      <c r="F45" s="33">
        <f t="shared" si="19"/>
        <v>0</v>
      </c>
      <c r="G45" s="33">
        <f t="shared" si="19"/>
        <v>601.80865589039695</v>
      </c>
      <c r="H45" s="33">
        <f t="shared" si="19"/>
        <v>14884.183131178077</v>
      </c>
      <c r="I45" s="33">
        <f t="shared" si="19"/>
        <v>18356.155757413682</v>
      </c>
      <c r="J45" s="33">
        <f t="shared" si="19"/>
        <v>22522.522908896422</v>
      </c>
      <c r="K45" s="33">
        <f t="shared" si="19"/>
        <v>27522.163490675714</v>
      </c>
      <c r="M45" s="189"/>
      <c r="N45" s="189"/>
      <c r="O45" s="189"/>
    </row>
    <row r="46" spans="2:15" x14ac:dyDescent="0.15">
      <c r="B46" s="28" t="s">
        <v>63</v>
      </c>
      <c r="C46" s="28"/>
      <c r="D46" s="28">
        <f>SUM(D41,D43:D45)</f>
        <v>15827.070709959755</v>
      </c>
      <c r="E46" s="28">
        <f t="shared" ref="E46:K46" si="20">SUM(E41,E43:E45)</f>
        <v>20550.237914600504</v>
      </c>
      <c r="F46" s="28">
        <f t="shared" si="20"/>
        <v>0</v>
      </c>
      <c r="G46" s="28">
        <f t="shared" si="20"/>
        <v>20187.397424090392</v>
      </c>
      <c r="H46" s="28">
        <f t="shared" si="20"/>
        <v>38605.57882399307</v>
      </c>
      <c r="I46" s="28">
        <f t="shared" si="20"/>
        <v>47048.173880750808</v>
      </c>
      <c r="J46" s="28">
        <f t="shared" si="20"/>
        <v>57187.209964078647</v>
      </c>
      <c r="K46" s="28">
        <f t="shared" si="20"/>
        <v>69362.252549823301</v>
      </c>
      <c r="M46" s="189"/>
      <c r="N46" s="189"/>
      <c r="O46" s="189"/>
    </row>
    <row r="64" spans="2:11" x14ac:dyDescent="0.15">
      <c r="B64" s="33" t="s">
        <v>45</v>
      </c>
      <c r="F64" s="34"/>
      <c r="G64" s="35"/>
      <c r="H64" s="35"/>
      <c r="I64" s="35"/>
      <c r="J64" s="35"/>
      <c r="K64" s="35"/>
    </row>
    <row r="65" spans="2:13" x14ac:dyDescent="0.15">
      <c r="B65" s="33" t="s">
        <v>46</v>
      </c>
      <c r="D65" s="36"/>
      <c r="E65" s="36"/>
      <c r="F65" s="36"/>
      <c r="G65" s="37"/>
      <c r="H65" s="37"/>
      <c r="I65" s="37"/>
      <c r="J65" s="37"/>
      <c r="K65" s="37"/>
    </row>
    <row r="66" spans="2:13" x14ac:dyDescent="0.15">
      <c r="B66" s="24" t="s">
        <v>47</v>
      </c>
      <c r="C66" s="24"/>
      <c r="D66" s="24"/>
      <c r="E66" s="24"/>
      <c r="F66" s="38"/>
      <c r="G66" s="39"/>
      <c r="H66" s="39"/>
      <c r="I66" s="39"/>
      <c r="J66" s="39"/>
      <c r="K66" s="39"/>
    </row>
    <row r="67" spans="2:13" x14ac:dyDescent="0.15">
      <c r="B67" s="26"/>
      <c r="C67" s="26"/>
      <c r="D67" s="26"/>
      <c r="E67" s="26"/>
      <c r="G67" s="40"/>
      <c r="H67" s="40"/>
      <c r="I67" s="40"/>
      <c r="J67" s="40"/>
      <c r="K67" s="40"/>
    </row>
    <row r="68" spans="2:13" x14ac:dyDescent="0.15">
      <c r="B68" s="33" t="s">
        <v>48</v>
      </c>
      <c r="G68" s="35"/>
      <c r="H68" s="35"/>
      <c r="I68" s="35"/>
      <c r="J68" s="35"/>
      <c r="K68" s="35"/>
    </row>
    <row r="69" spans="2:13" x14ac:dyDescent="0.15">
      <c r="B69" s="24" t="s">
        <v>49</v>
      </c>
      <c r="C69" s="24"/>
      <c r="D69" s="24"/>
      <c r="E69" s="24"/>
      <c r="F69" s="41"/>
      <c r="G69" s="39"/>
      <c r="H69" s="39"/>
      <c r="I69" s="39"/>
      <c r="J69" s="39"/>
      <c r="K69" s="39"/>
      <c r="M69" s="33" t="s">
        <v>50</v>
      </c>
    </row>
    <row r="70" spans="2:13" x14ac:dyDescent="0.15">
      <c r="F70" s="27"/>
      <c r="G70" s="35"/>
      <c r="H70" s="35"/>
      <c r="I70" s="35"/>
      <c r="J70" s="35"/>
      <c r="K70" s="35"/>
    </row>
    <row r="71" spans="2:13" x14ac:dyDescent="0.15">
      <c r="B71" s="33" t="s">
        <v>30</v>
      </c>
      <c r="F71" s="42"/>
      <c r="G71" s="35"/>
      <c r="H71" s="35"/>
      <c r="I71" s="35"/>
      <c r="J71" s="35"/>
      <c r="K71" s="35"/>
    </row>
    <row r="72" spans="2:13" x14ac:dyDescent="0.15">
      <c r="B72" s="33" t="s">
        <v>51</v>
      </c>
      <c r="F72" s="42"/>
      <c r="G72" s="35"/>
      <c r="H72" s="35"/>
      <c r="I72" s="35"/>
      <c r="J72" s="35"/>
      <c r="K72" s="35"/>
    </row>
    <row r="73" spans="2:13" x14ac:dyDescent="0.15">
      <c r="B73" s="33" t="s">
        <v>52</v>
      </c>
      <c r="G73" s="35"/>
      <c r="H73" s="35"/>
      <c r="I73" s="35"/>
      <c r="J73" s="35"/>
      <c r="K73" s="35"/>
    </row>
    <row r="74" spans="2:13" x14ac:dyDescent="0.15">
      <c r="B74" s="24" t="s">
        <v>53</v>
      </c>
      <c r="C74" s="24"/>
      <c r="D74" s="24"/>
      <c r="E74" s="24"/>
      <c r="F74" s="41"/>
      <c r="G74" s="39"/>
      <c r="H74" s="39"/>
      <c r="I74" s="39"/>
      <c r="J74" s="39"/>
      <c r="K74" s="39"/>
      <c r="M74" s="33" t="s">
        <v>54</v>
      </c>
    </row>
    <row r="75" spans="2:13" x14ac:dyDescent="0.15">
      <c r="B75" s="43" t="s">
        <v>55</v>
      </c>
      <c r="C75" s="43"/>
      <c r="D75" s="43"/>
      <c r="E75" s="43"/>
      <c r="G75" s="44"/>
      <c r="H75" s="44"/>
      <c r="I75" s="44"/>
      <c r="J75" s="44"/>
      <c r="K75" s="44"/>
      <c r="M75" s="33" t="s">
        <v>56</v>
      </c>
    </row>
    <row r="76" spans="2:13" x14ac:dyDescent="0.15">
      <c r="B76" s="43"/>
      <c r="C76" s="43"/>
      <c r="D76" s="43"/>
      <c r="E76" s="43"/>
      <c r="G76" s="44"/>
      <c r="H76" s="44"/>
      <c r="I76" s="44"/>
      <c r="J76" s="44"/>
      <c r="K76" s="44"/>
    </row>
    <row r="77" spans="2:13" x14ac:dyDescent="0.15">
      <c r="B77" s="43" t="s">
        <v>57</v>
      </c>
      <c r="C77" s="43"/>
      <c r="D77" s="43"/>
      <c r="E77" s="43"/>
      <c r="G77" s="44"/>
      <c r="H77" s="44"/>
      <c r="I77" s="44"/>
      <c r="J77" s="44"/>
      <c r="K77" s="44"/>
      <c r="M77" s="33" t="s">
        <v>58</v>
      </c>
    </row>
    <row r="78" spans="2:13" x14ac:dyDescent="0.15">
      <c r="B78" s="43" t="s">
        <v>59</v>
      </c>
      <c r="C78" s="43"/>
      <c r="D78" s="43"/>
      <c r="E78" s="43"/>
      <c r="F78" s="45"/>
      <c r="G78" s="44"/>
      <c r="H78" s="44"/>
      <c r="I78" s="44"/>
      <c r="J78" s="44"/>
      <c r="K78" s="44"/>
      <c r="M78" s="33" t="s">
        <v>60</v>
      </c>
    </row>
    <row r="79" spans="2:13" x14ac:dyDescent="0.15">
      <c r="G79" s="35"/>
      <c r="H79" s="35"/>
      <c r="I79" s="35"/>
      <c r="J79" s="35"/>
      <c r="K79" s="35"/>
    </row>
    <row r="80" spans="2:13" x14ac:dyDescent="0.15">
      <c r="B80" s="43" t="s">
        <v>61</v>
      </c>
      <c r="C80" s="46"/>
      <c r="D80" s="43"/>
      <c r="E80" s="43"/>
      <c r="F80" s="47"/>
      <c r="G80" s="44"/>
      <c r="H80" s="44"/>
      <c r="I80" s="44"/>
      <c r="J80" s="44"/>
      <c r="K80" s="44"/>
      <c r="M80" s="33" t="s">
        <v>62</v>
      </c>
    </row>
    <row r="81" spans="2:13" x14ac:dyDescent="0.15">
      <c r="G81" s="35"/>
      <c r="H81" s="35"/>
      <c r="I81" s="35"/>
      <c r="J81" s="35"/>
      <c r="K81" s="35"/>
    </row>
    <row r="82" spans="2:13" x14ac:dyDescent="0.15">
      <c r="B82" s="28" t="s">
        <v>63</v>
      </c>
      <c r="C82" s="28"/>
      <c r="D82" s="28"/>
      <c r="E82" s="28"/>
      <c r="F82" s="28"/>
      <c r="G82" s="28"/>
      <c r="H82" s="28"/>
      <c r="I82" s="28"/>
      <c r="J82" s="28"/>
      <c r="K82" s="28"/>
      <c r="M82" s="33" t="s">
        <v>64</v>
      </c>
    </row>
    <row r="83" spans="2:13" x14ac:dyDescent="0.15">
      <c r="B83" s="47"/>
      <c r="G83" s="35"/>
      <c r="H83" s="35"/>
      <c r="I83" s="35"/>
      <c r="J83" s="35"/>
      <c r="K83" s="35"/>
    </row>
    <row r="84" spans="2:13" x14ac:dyDescent="0.15">
      <c r="B84" s="48" t="s">
        <v>65</v>
      </c>
      <c r="C84" s="45"/>
      <c r="F84" s="45"/>
      <c r="G84" s="35"/>
      <c r="H84" s="35"/>
      <c r="I84" s="35"/>
      <c r="J84" s="35"/>
      <c r="K84" s="35"/>
    </row>
    <row r="85" spans="2:13" x14ac:dyDescent="0.15">
      <c r="B85" s="48" t="s">
        <v>66</v>
      </c>
      <c r="G85" s="35"/>
      <c r="H85" s="35"/>
      <c r="I85" s="35"/>
      <c r="J85" s="35"/>
      <c r="K85" s="35"/>
    </row>
    <row r="86" spans="2:13" x14ac:dyDescent="0.15">
      <c r="B86" s="48" t="s">
        <v>67</v>
      </c>
      <c r="C86" s="49"/>
      <c r="F86" s="50"/>
      <c r="G86" s="35"/>
      <c r="H86" s="35"/>
      <c r="I86" s="35"/>
      <c r="J86" s="35"/>
      <c r="K86" s="35"/>
    </row>
    <row r="87" spans="2:13" x14ac:dyDescent="0.15">
      <c r="B87" s="48" t="s">
        <v>68</v>
      </c>
      <c r="C87" s="49"/>
      <c r="F87" s="50"/>
      <c r="G87" s="35"/>
      <c r="H87" s="35"/>
      <c r="I87" s="35"/>
      <c r="J87" s="35"/>
      <c r="K87" s="35"/>
    </row>
    <row r="88" spans="2:13" x14ac:dyDescent="0.15">
      <c r="B88" s="28" t="s">
        <v>69</v>
      </c>
      <c r="C88" s="28"/>
      <c r="D88" s="28"/>
      <c r="E88" s="28"/>
      <c r="F88" s="28"/>
      <c r="G88" s="28"/>
      <c r="H88" s="28"/>
      <c r="I88" s="28"/>
      <c r="J88" s="28"/>
      <c r="K88" s="28"/>
    </row>
    <row r="89" spans="2:13" x14ac:dyDescent="0.15">
      <c r="B89" s="47"/>
      <c r="G89" s="34"/>
      <c r="H89" s="34"/>
      <c r="I89" s="34"/>
      <c r="J89" s="34"/>
      <c r="K89" s="34"/>
    </row>
    <row r="90" spans="2:13" x14ac:dyDescent="0.15">
      <c r="B90" s="51" t="s">
        <v>70</v>
      </c>
      <c r="C90" s="49"/>
      <c r="D90" s="52"/>
      <c r="E90" s="52"/>
      <c r="G90" s="52"/>
    </row>
    <row r="91" spans="2:13" x14ac:dyDescent="0.15">
      <c r="B91" s="49" t="s">
        <v>71</v>
      </c>
      <c r="C91" s="49"/>
      <c r="D91" s="49"/>
      <c r="E91" s="49"/>
      <c r="G91" s="49"/>
    </row>
    <row r="93" spans="2:13" x14ac:dyDescent="0.15">
      <c r="B93" s="49" t="s">
        <v>44</v>
      </c>
      <c r="C93" s="49"/>
      <c r="D93" s="49"/>
      <c r="E93" s="49"/>
      <c r="G93" s="49"/>
    </row>
    <row r="94" spans="2:13" x14ac:dyDescent="0.15">
      <c r="B94" s="49"/>
      <c r="C94" s="49"/>
      <c r="D94" s="49"/>
      <c r="E94" s="49"/>
      <c r="G94" s="49"/>
    </row>
  </sheetData>
  <mergeCells count="3">
    <mergeCell ref="M8:R12"/>
    <mergeCell ref="B33:C35"/>
    <mergeCell ref="M38:O4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AFC2-C2C7-694A-B3BB-5D865E42F5FC}">
  <sheetPr>
    <tabColor rgb="FF002060"/>
  </sheetPr>
  <dimension ref="B1:B11"/>
  <sheetViews>
    <sheetView zoomScale="130" zoomScaleNormal="130" workbookViewId="0">
      <selection activeCell="M28" sqref="M28"/>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7" t="s">
        <v>171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58EC9-E657-3B42-9CC9-0F353C7E5567}">
  <dimension ref="B1:M25"/>
  <sheetViews>
    <sheetView zoomScale="162" zoomScaleNormal="130" workbookViewId="0">
      <selection activeCell="C5" sqref="C5"/>
    </sheetView>
  </sheetViews>
  <sheetFormatPr baseColWidth="10" defaultColWidth="9.1640625" defaultRowHeight="12" x14ac:dyDescent="0.15"/>
  <cols>
    <col min="1" max="1" width="2" style="9" customWidth="1"/>
    <col min="2" max="2" width="22.6640625" style="9" customWidth="1"/>
    <col min="3" max="3" width="10" style="9" bestFit="1" customWidth="1"/>
    <col min="4" max="4" width="9.1640625" style="9"/>
    <col min="5" max="5" width="11.5" style="9" bestFit="1" customWidth="1"/>
    <col min="6" max="6" width="2" style="9" customWidth="1"/>
    <col min="7" max="7" width="10" style="9" bestFit="1" customWidth="1"/>
    <col min="8" max="11" width="9.1640625" style="9"/>
    <col min="12" max="12" width="2" style="9" customWidth="1"/>
    <col min="13" max="16384" width="9.1640625" style="9"/>
  </cols>
  <sheetData>
    <row r="1" spans="2:13" ht="16" x14ac:dyDescent="0.2">
      <c r="B1" s="8" t="s">
        <v>0</v>
      </c>
    </row>
    <row r="2" spans="2:13" x14ac:dyDescent="0.15">
      <c r="B2" s="9" t="s">
        <v>104</v>
      </c>
    </row>
    <row r="4" spans="2:13" x14ac:dyDescent="0.15">
      <c r="B4" s="9" t="s">
        <v>72</v>
      </c>
      <c r="C4" s="53">
        <v>0.1</v>
      </c>
    </row>
    <row r="5" spans="2:13" x14ac:dyDescent="0.15">
      <c r="B5" s="9" t="s">
        <v>73</v>
      </c>
      <c r="C5" s="53">
        <v>0.02</v>
      </c>
    </row>
    <row r="6" spans="2:13" x14ac:dyDescent="0.15">
      <c r="G6" s="9">
        <v>1</v>
      </c>
      <c r="H6" s="9">
        <v>2</v>
      </c>
      <c r="I6" s="9">
        <v>3</v>
      </c>
      <c r="J6" s="9">
        <v>4</v>
      </c>
      <c r="K6" s="9">
        <v>5</v>
      </c>
    </row>
    <row r="7" spans="2:13" ht="27" thickBot="1" x14ac:dyDescent="0.2">
      <c r="B7" s="86" t="s">
        <v>105</v>
      </c>
      <c r="C7" s="11"/>
      <c r="D7" s="11" t="s">
        <v>238</v>
      </c>
      <c r="E7" s="11" t="s">
        <v>239</v>
      </c>
      <c r="F7" s="12"/>
      <c r="G7" s="13" t="s">
        <v>240</v>
      </c>
      <c r="H7" s="13" t="s">
        <v>241</v>
      </c>
      <c r="I7" s="13" t="s">
        <v>242</v>
      </c>
      <c r="J7" s="13" t="s">
        <v>243</v>
      </c>
      <c r="K7" s="13" t="s">
        <v>244</v>
      </c>
      <c r="M7" s="23" t="s">
        <v>34</v>
      </c>
    </row>
    <row r="8" spans="2:13" x14ac:dyDescent="0.15">
      <c r="B8" s="9" t="s">
        <v>63</v>
      </c>
      <c r="D8" s="14">
        <f>'Cash Flow'!D46</f>
        <v>15827.070709959755</v>
      </c>
      <c r="E8" s="14">
        <f>'Cash Flow'!E46</f>
        <v>20550.237914600504</v>
      </c>
      <c r="F8" s="14">
        <f>'Cash Flow'!F46</f>
        <v>0</v>
      </c>
      <c r="G8" s="15">
        <f>'Cash Flow'!G46</f>
        <v>20187.397424090392</v>
      </c>
      <c r="H8" s="15">
        <f>'Cash Flow'!H46</f>
        <v>38605.57882399307</v>
      </c>
      <c r="I8" s="15">
        <f>'Cash Flow'!I46</f>
        <v>47048.173880750808</v>
      </c>
      <c r="J8" s="15">
        <f>'Cash Flow'!J46</f>
        <v>57187.209964078647</v>
      </c>
      <c r="K8" s="15">
        <f>'Cash Flow'!K46</f>
        <v>69362.252549823301</v>
      </c>
    </row>
    <row r="9" spans="2:13" ht="3.75" customHeight="1" x14ac:dyDescent="0.15">
      <c r="G9" s="15"/>
      <c r="H9" s="15"/>
      <c r="I9" s="15"/>
      <c r="J9" s="15"/>
      <c r="K9" s="15"/>
    </row>
    <row r="10" spans="2:13" x14ac:dyDescent="0.15">
      <c r="B10" s="9" t="s">
        <v>74</v>
      </c>
      <c r="G10" s="54">
        <f>1/(1+$C$4)^G6</f>
        <v>0.90909090909090906</v>
      </c>
      <c r="H10" s="54">
        <f t="shared" ref="H10:K10" si="0">1/(1+$C$4)^H6</f>
        <v>0.82644628099173545</v>
      </c>
      <c r="I10" s="54">
        <f t="shared" si="0"/>
        <v>0.75131480090157754</v>
      </c>
      <c r="J10" s="54">
        <f t="shared" si="0"/>
        <v>0.68301345536507052</v>
      </c>
      <c r="K10" s="54">
        <f t="shared" si="0"/>
        <v>0.62092132305915493</v>
      </c>
    </row>
    <row r="11" spans="2:13" x14ac:dyDescent="0.15">
      <c r="B11" s="24" t="s">
        <v>75</v>
      </c>
      <c r="C11" s="24"/>
      <c r="D11" s="24"/>
      <c r="E11" s="24"/>
      <c r="F11" s="25"/>
      <c r="G11" s="55">
        <f>G8*G10</f>
        <v>18352.17947644581</v>
      </c>
      <c r="H11" s="55">
        <f t="shared" ref="H11:K11" si="1">H8*H10</f>
        <v>31905.437044622369</v>
      </c>
      <c r="I11" s="55">
        <f t="shared" si="1"/>
        <v>35347.989391999094</v>
      </c>
      <c r="J11" s="55">
        <f t="shared" si="1"/>
        <v>39059.633880253146</v>
      </c>
      <c r="K11" s="55">
        <f t="shared" si="1"/>
        <v>43068.501623599528</v>
      </c>
    </row>
    <row r="12" spans="2:13" x14ac:dyDescent="0.15">
      <c r="G12" s="56"/>
      <c r="H12" s="14"/>
      <c r="I12" s="14"/>
      <c r="J12" s="14"/>
      <c r="K12" s="14"/>
    </row>
    <row r="13" spans="2:13" x14ac:dyDescent="0.15">
      <c r="G13" s="56"/>
      <c r="H13" s="14"/>
      <c r="I13" s="14"/>
      <c r="J13" s="14"/>
      <c r="K13" s="14"/>
    </row>
    <row r="14" spans="2:13" x14ac:dyDescent="0.15">
      <c r="B14" s="190" t="s">
        <v>0</v>
      </c>
      <c r="C14" s="190"/>
      <c r="D14" s="190"/>
      <c r="E14" s="190"/>
      <c r="F14" s="190"/>
      <c r="G14" s="190"/>
      <c r="H14" s="190"/>
      <c r="I14" s="190"/>
      <c r="J14" s="190"/>
      <c r="K14" s="190"/>
    </row>
    <row r="15" spans="2:13" x14ac:dyDescent="0.15">
      <c r="B15" s="9" t="s">
        <v>76</v>
      </c>
      <c r="C15" s="9">
        <f>SUM(G11:K11)</f>
        <v>167733.74141691995</v>
      </c>
      <c r="D15" s="9" t="s">
        <v>360</v>
      </c>
      <c r="E15" s="19">
        <f>C15/C$18</f>
        <v>0.23398489424449054</v>
      </c>
      <c r="G15" s="56"/>
      <c r="H15" s="14"/>
      <c r="I15" s="14"/>
      <c r="J15" s="14"/>
      <c r="K15" s="14"/>
    </row>
    <row r="16" spans="2:13" x14ac:dyDescent="0.15">
      <c r="B16" s="9" t="s">
        <v>77</v>
      </c>
      <c r="C16" s="9">
        <f>K8*(1+C5)/(C4-C5)</f>
        <v>884368.72001024708</v>
      </c>
      <c r="D16" s="9" t="s">
        <v>360</v>
      </c>
      <c r="E16" s="19"/>
    </row>
    <row r="17" spans="2:11" x14ac:dyDescent="0.15">
      <c r="B17" s="9" t="s">
        <v>78</v>
      </c>
      <c r="C17" s="9">
        <f>C16*K10</f>
        <v>549123.39570089395</v>
      </c>
      <c r="D17" s="9" t="s">
        <v>360</v>
      </c>
      <c r="E17" s="19">
        <f>C17/C$18</f>
        <v>0.76601510575550946</v>
      </c>
    </row>
    <row r="18" spans="2:11" x14ac:dyDescent="0.15">
      <c r="B18" s="57" t="s">
        <v>79</v>
      </c>
      <c r="C18" s="57">
        <f>C17+C15</f>
        <v>716857.13711781392</v>
      </c>
      <c r="D18" s="77" t="s">
        <v>360</v>
      </c>
    </row>
    <row r="19" spans="2:11" x14ac:dyDescent="0.15">
      <c r="B19" s="9" t="s">
        <v>362</v>
      </c>
      <c r="C19" s="9">
        <f>-'P&amp;L and BS'!E40</f>
        <v>-9686.4840000000004</v>
      </c>
    </row>
    <row r="20" spans="2:11" x14ac:dyDescent="0.15">
      <c r="B20" s="9" t="s">
        <v>80</v>
      </c>
      <c r="C20" s="9">
        <f>'P&amp;L and BS'!E35</f>
        <v>50056.180999999997</v>
      </c>
    </row>
    <row r="21" spans="2:11" x14ac:dyDescent="0.15">
      <c r="B21" s="57" t="s">
        <v>81</v>
      </c>
      <c r="C21" s="57">
        <f>SUM(C18:C20)</f>
        <v>757226.83411781385</v>
      </c>
      <c r="D21" s="77" t="s">
        <v>360</v>
      </c>
      <c r="G21" s="58">
        <f>C18</f>
        <v>716857.13711781392</v>
      </c>
      <c r="H21" s="59">
        <v>0.09</v>
      </c>
      <c r="I21" s="59">
        <v>0.1</v>
      </c>
      <c r="J21" s="59">
        <v>0.11</v>
      </c>
      <c r="K21" s="59">
        <v>0.12</v>
      </c>
    </row>
    <row r="22" spans="2:11" x14ac:dyDescent="0.15">
      <c r="C22" s="77">
        <f>C21/3.673</f>
        <v>206160.31421666589</v>
      </c>
      <c r="D22" s="77" t="s">
        <v>361</v>
      </c>
      <c r="G22" s="60">
        <v>0.01</v>
      </c>
      <c r="H22" s="14">
        <f t="dataTable" ref="H22:K25" dt2D="1" dtr="1" r1="C4" r2="C5"/>
        <v>742081.38037898939</v>
      </c>
      <c r="I22" s="14">
        <v>651058.03741509235</v>
      </c>
      <c r="J22" s="14">
        <v>578502.8460343238</v>
      </c>
      <c r="K22" s="14">
        <v>519368.10929780337</v>
      </c>
    </row>
    <row r="23" spans="2:11" x14ac:dyDescent="0.15">
      <c r="G23" s="60">
        <v>0.02</v>
      </c>
      <c r="H23" s="14">
        <v>829827.75252642902</v>
      </c>
      <c r="I23" s="29">
        <v>716857.13711781392</v>
      </c>
      <c r="J23" s="14">
        <v>629270.6951354756</v>
      </c>
      <c r="K23" s="14">
        <v>559441.71425625274</v>
      </c>
    </row>
    <row r="24" spans="2:11" x14ac:dyDescent="0.15">
      <c r="G24" s="60">
        <v>0.03</v>
      </c>
      <c r="H24" s="14">
        <v>946822.91538968123</v>
      </c>
      <c r="I24" s="14">
        <v>801455.97959274147</v>
      </c>
      <c r="J24" s="14">
        <v>692730.50651191536</v>
      </c>
      <c r="K24" s="14">
        <v>608420.5647610242</v>
      </c>
    </row>
    <row r="25" spans="2:11" x14ac:dyDescent="0.15">
      <c r="G25" s="60">
        <v>0.04</v>
      </c>
      <c r="H25" s="14">
        <v>1110616.1433982349</v>
      </c>
      <c r="I25" s="14">
        <v>914254.43622597842</v>
      </c>
      <c r="J25" s="14">
        <v>774321.69256733789</v>
      </c>
      <c r="K25" s="14">
        <v>669644.12789198861</v>
      </c>
    </row>
  </sheetData>
  <mergeCells count="1">
    <mergeCell ref="B14:K1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273E-DAF6-124D-9E19-817234129F28}">
  <dimension ref="B1:N8"/>
  <sheetViews>
    <sheetView topLeftCell="B1" zoomScale="158" workbookViewId="0">
      <selection activeCell="F10" sqref="F10"/>
    </sheetView>
  </sheetViews>
  <sheetFormatPr baseColWidth="10" defaultColWidth="9.1640625" defaultRowHeight="12" x14ac:dyDescent="0.15"/>
  <cols>
    <col min="1" max="1" width="2" style="2" customWidth="1"/>
    <col min="2" max="2" width="19.1640625" style="2" bestFit="1" customWidth="1"/>
    <col min="3" max="6" width="9.1640625" style="2"/>
    <col min="7" max="7" width="19.1640625" style="2" bestFit="1" customWidth="1"/>
    <col min="8" max="12" width="9.1640625" style="2"/>
    <col min="13" max="13" width="19.1640625" style="2" bestFit="1" customWidth="1"/>
    <col min="14" max="16384" width="9.1640625" style="2"/>
  </cols>
  <sheetData>
    <row r="1" spans="2:14" ht="16" x14ac:dyDescent="0.2">
      <c r="B1" s="1" t="s">
        <v>12</v>
      </c>
    </row>
    <row r="2" spans="2:14" x14ac:dyDescent="0.15">
      <c r="B2" s="2" t="s">
        <v>368</v>
      </c>
    </row>
    <row r="4" spans="2:14" ht="13" thickBot="1" x14ac:dyDescent="0.2">
      <c r="B4" s="74" t="s">
        <v>90</v>
      </c>
      <c r="C4" s="74" t="s">
        <v>365</v>
      </c>
      <c r="G4" s="74" t="s">
        <v>91</v>
      </c>
      <c r="H4" s="74" t="s">
        <v>366</v>
      </c>
      <c r="M4" s="74" t="s">
        <v>92</v>
      </c>
      <c r="N4" s="74" t="s">
        <v>367</v>
      </c>
    </row>
    <row r="5" spans="2:14" x14ac:dyDescent="0.15">
      <c r="B5" s="140" t="s">
        <v>363</v>
      </c>
      <c r="C5" s="9">
        <v>716857.13711781392</v>
      </c>
      <c r="G5" s="140" t="s">
        <v>363</v>
      </c>
      <c r="H5" s="9">
        <v>523841.91907839797</v>
      </c>
      <c r="M5" s="140" t="s">
        <v>363</v>
      </c>
      <c r="N5" s="142">
        <v>221068.89195984992</v>
      </c>
    </row>
    <row r="6" spans="2:14" x14ac:dyDescent="0.15">
      <c r="B6" s="140" t="s">
        <v>364</v>
      </c>
      <c r="C6" s="9">
        <v>206160.31421666589</v>
      </c>
      <c r="G6" s="140" t="s">
        <v>364</v>
      </c>
      <c r="H6" s="9">
        <v>153610.56794946853</v>
      </c>
      <c r="M6" s="140" t="s">
        <v>364</v>
      </c>
      <c r="N6" s="142">
        <v>71178.488690402912</v>
      </c>
    </row>
    <row r="7" spans="2:14" x14ac:dyDescent="0.15">
      <c r="B7" s="140" t="s">
        <v>93</v>
      </c>
      <c r="C7" s="19">
        <v>0.23398489424449054</v>
      </c>
      <c r="G7" s="140" t="s">
        <v>93</v>
      </c>
      <c r="H7" s="141">
        <v>0.25719757782855907</v>
      </c>
      <c r="M7" s="140" t="s">
        <v>93</v>
      </c>
      <c r="N7" s="19">
        <v>0.31605003458383968</v>
      </c>
    </row>
    <row r="8" spans="2:14" x14ac:dyDescent="0.15">
      <c r="B8" s="140" t="s">
        <v>94</v>
      </c>
      <c r="C8" s="19">
        <v>0.76601510575550946</v>
      </c>
      <c r="G8" s="140" t="s">
        <v>94</v>
      </c>
      <c r="H8" s="141">
        <v>0.74280242217144099</v>
      </c>
      <c r="M8" s="140" t="s">
        <v>94</v>
      </c>
      <c r="N8" s="19">
        <v>0.68394996541616038</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4183-2D93-BC49-9C66-0968089E69DD}">
  <sheetPr>
    <tabColor rgb="FF002060"/>
  </sheetPr>
  <dimension ref="B1:B11"/>
  <sheetViews>
    <sheetView zoomScale="130" zoomScaleNormal="130" workbookViewId="0">
      <selection activeCell="B12" sqref="B12"/>
    </sheetView>
  </sheetViews>
  <sheetFormatPr baseColWidth="10" defaultColWidth="9.1640625" defaultRowHeight="12" x14ac:dyDescent="0.15"/>
  <cols>
    <col min="1" max="1" width="2" style="2" customWidth="1"/>
    <col min="2" max="16384" width="9.1640625" style="2"/>
  </cols>
  <sheetData>
    <row r="1" spans="2:2" ht="16" x14ac:dyDescent="0.2">
      <c r="B1" s="1"/>
    </row>
    <row r="11" spans="2:2" ht="40" x14ac:dyDescent="0.4">
      <c r="B11" s="7" t="s">
        <v>376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19BA8-4F17-D941-A0CA-1A32F24BD562}">
  <dimension ref="B1:K6"/>
  <sheetViews>
    <sheetView workbookViewId="0">
      <selection activeCell="P21" sqref="P21"/>
    </sheetView>
  </sheetViews>
  <sheetFormatPr baseColWidth="10" defaultColWidth="9.1640625" defaultRowHeight="12" x14ac:dyDescent="0.15"/>
  <cols>
    <col min="1" max="1" width="2" style="2" customWidth="1"/>
    <col min="2" max="2" width="24.1640625" style="2" bestFit="1" customWidth="1"/>
    <col min="3" max="5" width="9.1640625" style="2"/>
    <col min="6" max="6" width="2" style="2" customWidth="1"/>
    <col min="7" max="16384" width="9.1640625" style="2"/>
  </cols>
  <sheetData>
    <row r="1" spans="2:11" ht="16" x14ac:dyDescent="0.2">
      <c r="B1" s="1" t="s">
        <v>82</v>
      </c>
    </row>
    <row r="2" spans="2:11" x14ac:dyDescent="0.15">
      <c r="B2" s="2" t="s">
        <v>104</v>
      </c>
    </row>
    <row r="3" spans="2:11" ht="27" thickBot="1" x14ac:dyDescent="0.2">
      <c r="B3" s="86" t="s">
        <v>105</v>
      </c>
      <c r="C3" s="11" t="s">
        <v>237</v>
      </c>
      <c r="D3" s="11" t="s">
        <v>238</v>
      </c>
      <c r="E3" s="11" t="s">
        <v>239</v>
      </c>
      <c r="F3" s="12"/>
      <c r="G3" s="13" t="s">
        <v>240</v>
      </c>
      <c r="H3" s="13" t="s">
        <v>241</v>
      </c>
      <c r="I3" s="13" t="s">
        <v>242</v>
      </c>
      <c r="J3" s="13" t="s">
        <v>243</v>
      </c>
      <c r="K3" s="13" t="s">
        <v>244</v>
      </c>
    </row>
    <row r="4" spans="2:11" x14ac:dyDescent="0.15">
      <c r="B4" s="2" t="s">
        <v>23</v>
      </c>
      <c r="C4" s="61">
        <f>'P&amp;L and BS'!C4</f>
        <v>24925.673999999999</v>
      </c>
      <c r="D4" s="61">
        <f>'P&amp;L and BS'!D4</f>
        <v>26749.821</v>
      </c>
      <c r="E4" s="61">
        <f>'P&amp;L and BS'!E4</f>
        <v>35504.92</v>
      </c>
      <c r="F4" s="61">
        <f>'P&amp;L and BS'!F4</f>
        <v>0</v>
      </c>
      <c r="G4" s="62">
        <f>'P&amp;L and BS'!G4</f>
        <v>42605.903999999995</v>
      </c>
      <c r="H4" s="62">
        <f>'P&amp;L and BS'!H4</f>
        <v>51127.08479999999</v>
      </c>
      <c r="I4" s="62">
        <f>'P&amp;L and BS'!I4</f>
        <v>61352.501759999985</v>
      </c>
      <c r="J4" s="62">
        <f>'P&amp;L and BS'!J4</f>
        <v>73623.002111999973</v>
      </c>
      <c r="K4" s="62">
        <f>'P&amp;L and BS'!K4</f>
        <v>88347.602534399964</v>
      </c>
    </row>
    <row r="5" spans="2:11" x14ac:dyDescent="0.15">
      <c r="B5" s="2" t="s">
        <v>35</v>
      </c>
      <c r="C5" s="61">
        <f>'P&amp;L and BS'!C9</f>
        <v>9325.3639999999978</v>
      </c>
      <c r="D5" s="61">
        <f>'P&amp;L and BS'!D9</f>
        <v>14404.541000000001</v>
      </c>
      <c r="E5" s="61">
        <f>'P&amp;L and BS'!E9</f>
        <v>17563.058999999997</v>
      </c>
      <c r="F5" s="61">
        <f>'P&amp;L and BS'!F9</f>
        <v>0</v>
      </c>
      <c r="G5" s="62">
        <f>'P&amp;L and BS'!G9</f>
        <v>22581.129119999994</v>
      </c>
      <c r="H5" s="62">
        <f>'P&amp;L and BS'!H9</f>
        <v>27097.354943999992</v>
      </c>
      <c r="I5" s="62">
        <f>'P&amp;L and BS'!I9</f>
        <v>32516.825932799995</v>
      </c>
      <c r="J5" s="62">
        <f>'P&amp;L and BS'!J9</f>
        <v>39020.191119359981</v>
      </c>
      <c r="K5" s="62">
        <f>'P&amp;L and BS'!K9</f>
        <v>46824.229343231978</v>
      </c>
    </row>
    <row r="6" spans="2:11" x14ac:dyDescent="0.15">
      <c r="B6" s="2" t="s">
        <v>83</v>
      </c>
      <c r="C6" s="16">
        <f>C5/C4</f>
        <v>0.37412685410232027</v>
      </c>
      <c r="D6" s="16">
        <f>D5/D4</f>
        <v>0.53849111737981359</v>
      </c>
      <c r="E6" s="16">
        <f>E5/E4</f>
        <v>0.49466549988001657</v>
      </c>
      <c r="F6" s="16"/>
      <c r="G6" s="63">
        <f>G5/G4</f>
        <v>0.52999999999999992</v>
      </c>
      <c r="H6" s="63">
        <f>H5/H4</f>
        <v>0.52999999999999992</v>
      </c>
      <c r="I6" s="63">
        <f>I5/I4</f>
        <v>0.53</v>
      </c>
      <c r="J6" s="63">
        <f>J5/J4</f>
        <v>0.52999999999999992</v>
      </c>
      <c r="K6" s="63">
        <f>K5/K4</f>
        <v>0.52999999999999992</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AFEB7-520F-F44C-92B7-47AC5D026AC5}">
  <dimension ref="B1:G5"/>
  <sheetViews>
    <sheetView workbookViewId="0">
      <selection activeCell="N9" sqref="N9"/>
    </sheetView>
  </sheetViews>
  <sheetFormatPr baseColWidth="10" defaultColWidth="9.1640625" defaultRowHeight="12" x14ac:dyDescent="0.15"/>
  <cols>
    <col min="1" max="1" width="2" style="2" customWidth="1"/>
    <col min="2" max="2" width="19.5" style="2" bestFit="1" customWidth="1"/>
    <col min="3" max="16384" width="9.1640625" style="2"/>
  </cols>
  <sheetData>
    <row r="1" spans="2:7" ht="16" x14ac:dyDescent="0.2">
      <c r="B1" s="1" t="s">
        <v>9</v>
      </c>
    </row>
    <row r="2" spans="2:7" x14ac:dyDescent="0.15">
      <c r="B2" s="2" t="s">
        <v>104</v>
      </c>
    </row>
    <row r="3" spans="2:7" ht="27" thickBot="1" x14ac:dyDescent="0.2">
      <c r="B3" s="86" t="s">
        <v>105</v>
      </c>
      <c r="C3" s="13" t="s">
        <v>240</v>
      </c>
      <c r="D3" s="13" t="s">
        <v>241</v>
      </c>
      <c r="E3" s="13" t="s">
        <v>242</v>
      </c>
      <c r="F3" s="13" t="s">
        <v>243</v>
      </c>
      <c r="G3" s="13" t="s">
        <v>244</v>
      </c>
    </row>
    <row r="4" spans="2:7" x14ac:dyDescent="0.15">
      <c r="B4" s="9" t="s">
        <v>63</v>
      </c>
      <c r="C4" s="15">
        <f>'DCF valuation'!G8</f>
        <v>20187.397424090392</v>
      </c>
      <c r="D4" s="15">
        <f>'DCF valuation'!H8</f>
        <v>38605.57882399307</v>
      </c>
      <c r="E4" s="15">
        <f>'DCF valuation'!I8</f>
        <v>47048.173880750808</v>
      </c>
      <c r="F4" s="15">
        <f>'DCF valuation'!J8</f>
        <v>57187.209964078647</v>
      </c>
      <c r="G4" s="15">
        <f>'DCF valuation'!K8</f>
        <v>69362.252549823301</v>
      </c>
    </row>
    <row r="5" spans="2:7" x14ac:dyDescent="0.15">
      <c r="B5" s="9" t="s">
        <v>75</v>
      </c>
      <c r="C5" s="15">
        <f>'DCF valuation'!G11</f>
        <v>18352.17947644581</v>
      </c>
      <c r="D5" s="15">
        <f>'DCF valuation'!H11</f>
        <v>31905.437044622369</v>
      </c>
      <c r="E5" s="15">
        <f>'DCF valuation'!I11</f>
        <v>35347.989391999094</v>
      </c>
      <c r="F5" s="15">
        <f>'DCF valuation'!J11</f>
        <v>39059.633880253146</v>
      </c>
      <c r="G5" s="15">
        <f>'DCF valuation'!K11</f>
        <v>43068.501623599528</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602B-B30A-E443-BC7C-79AD7FD8E459}">
  <dimension ref="B1:O7"/>
  <sheetViews>
    <sheetView workbookViewId="0">
      <selection activeCell="E4" sqref="E4:I4"/>
    </sheetView>
  </sheetViews>
  <sheetFormatPr baseColWidth="10" defaultColWidth="9.1640625" defaultRowHeight="12" x14ac:dyDescent="0.15"/>
  <cols>
    <col min="1" max="1" width="2" style="2" customWidth="1"/>
    <col min="2" max="2" width="13.6640625" style="2" bestFit="1" customWidth="1"/>
    <col min="3" max="16384" width="9.1640625" style="2"/>
  </cols>
  <sheetData>
    <row r="1" spans="2:15" ht="16" x14ac:dyDescent="0.2">
      <c r="B1" s="1" t="s">
        <v>10</v>
      </c>
    </row>
    <row r="2" spans="2:15" x14ac:dyDescent="0.15">
      <c r="K2" s="64">
        <f>C3</f>
        <v>17563.058999999997</v>
      </c>
      <c r="L2" s="64">
        <f>K2</f>
        <v>17563.058999999997</v>
      </c>
      <c r="M2" s="65">
        <f>L2+L3+C5</f>
        <v>22746.041399999995</v>
      </c>
      <c r="N2" s="65">
        <f>M2</f>
        <v>22746.041399999995</v>
      </c>
      <c r="O2" s="66"/>
    </row>
    <row r="3" spans="2:15" x14ac:dyDescent="0.15">
      <c r="B3" s="2" t="s">
        <v>369</v>
      </c>
      <c r="C3" s="2">
        <f>'P&amp;L and BS'!E9</f>
        <v>17563.058999999997</v>
      </c>
      <c r="K3" s="67">
        <v>0</v>
      </c>
      <c r="L3" s="64">
        <f>C4</f>
        <v>7100.9839999999967</v>
      </c>
      <c r="M3" s="65">
        <f>-C5</f>
        <v>1918.0016000000014</v>
      </c>
      <c r="N3" s="65">
        <f>C6</f>
        <v>-164.91227999999956</v>
      </c>
      <c r="O3" s="65">
        <f>N3+N2</f>
        <v>22581.129119999994</v>
      </c>
    </row>
    <row r="4" spans="2:15" ht="53" customHeight="1" x14ac:dyDescent="0.15">
      <c r="B4" s="2" t="s">
        <v>84</v>
      </c>
      <c r="C4" s="2">
        <f>'P&amp;L and BS'!G4-'P&amp;L and BS'!E4</f>
        <v>7100.9839999999967</v>
      </c>
      <c r="E4" s="191" t="s">
        <v>372</v>
      </c>
      <c r="F4" s="192"/>
      <c r="G4" s="192"/>
      <c r="H4" s="192"/>
      <c r="I4" s="193"/>
      <c r="K4" s="68" t="str">
        <f>B3</f>
        <v>EBITDA FY24</v>
      </c>
      <c r="L4" s="69" t="str">
        <f>B4</f>
        <v>Delta Revenues</v>
      </c>
      <c r="M4" s="69" t="str">
        <f>B5</f>
        <v>Delta Cogs</v>
      </c>
      <c r="N4" s="69" t="str">
        <f>B6</f>
        <v>Delta Opex</v>
      </c>
      <c r="O4" s="70" t="str">
        <f>B7</f>
        <v>EBITDA FY25</v>
      </c>
    </row>
    <row r="5" spans="2:15" x14ac:dyDescent="0.15">
      <c r="B5" s="2" t="s">
        <v>85</v>
      </c>
      <c r="C5" s="2">
        <f>'P&amp;L and BS'!G5-'P&amp;L and BS'!E5</f>
        <v>-1918.0016000000014</v>
      </c>
      <c r="E5" s="194" t="s">
        <v>373</v>
      </c>
      <c r="F5" s="195"/>
      <c r="G5" s="195"/>
      <c r="H5" s="195"/>
      <c r="I5" s="196"/>
    </row>
    <row r="6" spans="2:15" x14ac:dyDescent="0.15">
      <c r="B6" s="2" t="s">
        <v>86</v>
      </c>
      <c r="C6" s="2">
        <f>'P&amp;L and BS'!G8-'P&amp;L and BS'!E8</f>
        <v>-164.91227999999956</v>
      </c>
      <c r="E6" s="197"/>
      <c r="F6" s="198"/>
      <c r="G6" s="198"/>
      <c r="H6" s="198"/>
      <c r="I6" s="199"/>
    </row>
    <row r="7" spans="2:15" x14ac:dyDescent="0.15">
      <c r="B7" s="2" t="s">
        <v>370</v>
      </c>
      <c r="C7" s="2">
        <f>'P&amp;L and BS'!G9</f>
        <v>22581.129119999994</v>
      </c>
      <c r="E7" s="200"/>
      <c r="F7" s="201"/>
      <c r="G7" s="201"/>
      <c r="H7" s="201"/>
      <c r="I7" s="202"/>
    </row>
  </sheetData>
  <mergeCells count="2">
    <mergeCell ref="E4:I4"/>
    <mergeCell ref="E5:I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5F4E4-9EFC-AC47-92D1-60ADC1206CF3}">
  <dimension ref="B1:K11"/>
  <sheetViews>
    <sheetView workbookViewId="0">
      <selection activeCell="O17" sqref="O17"/>
    </sheetView>
  </sheetViews>
  <sheetFormatPr baseColWidth="10" defaultColWidth="9.1640625" defaultRowHeight="12" x14ac:dyDescent="0.15"/>
  <cols>
    <col min="1" max="1" width="2" style="2" customWidth="1"/>
    <col min="2" max="2" width="27.5" style="2" bestFit="1" customWidth="1"/>
    <col min="3" max="5" width="9.1640625" style="2"/>
    <col min="6" max="6" width="2" style="2" customWidth="1"/>
    <col min="7" max="16384" width="9.1640625" style="2"/>
  </cols>
  <sheetData>
    <row r="1" spans="2:11" ht="16" x14ac:dyDescent="0.2">
      <c r="B1" s="1" t="s">
        <v>11</v>
      </c>
    </row>
    <row r="2" spans="2:11" x14ac:dyDescent="0.15">
      <c r="B2" s="2" t="s">
        <v>104</v>
      </c>
    </row>
    <row r="3" spans="2:11" ht="27" thickBot="1" x14ac:dyDescent="0.2">
      <c r="B3" s="86" t="s">
        <v>105</v>
      </c>
      <c r="C3" s="11" t="s">
        <v>237</v>
      </c>
      <c r="D3" s="11" t="s">
        <v>238</v>
      </c>
      <c r="E3" s="11" t="s">
        <v>239</v>
      </c>
      <c r="F3" s="12"/>
      <c r="G3" s="13" t="s">
        <v>240</v>
      </c>
      <c r="H3" s="13" t="s">
        <v>241</v>
      </c>
      <c r="I3" s="13" t="s">
        <v>242</v>
      </c>
      <c r="J3" s="13" t="s">
        <v>243</v>
      </c>
      <c r="K3" s="13" t="s">
        <v>244</v>
      </c>
    </row>
    <row r="4" spans="2:11" x14ac:dyDescent="0.15">
      <c r="B4" s="33" t="s">
        <v>371</v>
      </c>
      <c r="C4" s="61">
        <f>'P&amp;L and BS'!C32</f>
        <v>42240.59</v>
      </c>
      <c r="D4" s="61">
        <f>'P&amp;L and BS'!D32</f>
        <v>40997.599999999999</v>
      </c>
      <c r="E4" s="61">
        <f>'P&amp;L and BS'!E32</f>
        <v>45096.264000000003</v>
      </c>
      <c r="F4" s="61">
        <f>'P&amp;L and BS'!F32</f>
        <v>0</v>
      </c>
      <c r="G4" s="62">
        <f>'P&amp;L and BS'!G32</f>
        <v>44356.831561643834</v>
      </c>
      <c r="H4" s="62">
        <f>'P&amp;L and BS'!H32</f>
        <v>53228.197873972596</v>
      </c>
      <c r="I4" s="62">
        <f>'P&amp;L and BS'!I32</f>
        <v>63873.837448767117</v>
      </c>
      <c r="J4" s="62">
        <f>'P&amp;L and BS'!J32</f>
        <v>76648.604938520526</v>
      </c>
      <c r="K4" s="62">
        <f>'P&amp;L and BS'!K32</f>
        <v>91978.325926224643</v>
      </c>
    </row>
    <row r="5" spans="2:11" x14ac:dyDescent="0.15">
      <c r="B5" s="2" t="s">
        <v>135</v>
      </c>
      <c r="C5" s="61">
        <f>'P&amp;L and BS'!C30</f>
        <v>22218.35</v>
      </c>
      <c r="D5" s="61">
        <f>'P&amp;L and BS'!D30</f>
        <v>17255.07</v>
      </c>
      <c r="E5" s="61">
        <f>'P&amp;L and BS'!E30</f>
        <v>15484.276</v>
      </c>
      <c r="F5" s="61">
        <f>'P&amp;L and BS'!F30</f>
        <v>0</v>
      </c>
      <c r="G5" s="62">
        <f>'P&amp;L and BS'!G30</f>
        <v>17509.275616438354</v>
      </c>
      <c r="H5" s="62">
        <f>'P&amp;L and BS'!H30</f>
        <v>21011.130739726021</v>
      </c>
      <c r="I5" s="62">
        <f>'P&amp;L and BS'!I30</f>
        <v>25213.356887671223</v>
      </c>
      <c r="J5" s="62">
        <f>'P&amp;L and BS'!J30</f>
        <v>30256.02826520547</v>
      </c>
      <c r="K5" s="62">
        <f>'P&amp;L and BS'!K30</f>
        <v>36307.233918246566</v>
      </c>
    </row>
    <row r="6" spans="2:11" x14ac:dyDescent="0.15">
      <c r="B6" s="2" t="s">
        <v>143</v>
      </c>
      <c r="C6" s="61">
        <f>'P&amp;L and BS'!C38</f>
        <v>19659.763999999999</v>
      </c>
      <c r="D6" s="61">
        <f>'P&amp;L and BS'!D38</f>
        <v>14737.47</v>
      </c>
      <c r="E6" s="61">
        <f>'P&amp;L and BS'!E38</f>
        <v>17570.830000000002</v>
      </c>
      <c r="F6" s="61">
        <f>'P&amp;L and BS'!F38</f>
        <v>0</v>
      </c>
      <c r="G6" s="62">
        <f>'P&amp;L and BS'!G38</f>
        <v>23345.70082191781</v>
      </c>
      <c r="H6" s="62">
        <f>'P&amp;L and BS'!H38</f>
        <v>28014.840986301366</v>
      </c>
      <c r="I6" s="62">
        <f>'P&amp;L and BS'!I38</f>
        <v>33617.809183561643</v>
      </c>
      <c r="J6" s="62">
        <f>'P&amp;L and BS'!J38</f>
        <v>40341.37102027396</v>
      </c>
      <c r="K6" s="62">
        <f>'P&amp;L and BS'!K38</f>
        <v>48409.645224328757</v>
      </c>
    </row>
    <row r="7" spans="2:11" x14ac:dyDescent="0.15">
      <c r="B7" s="71" t="s">
        <v>11</v>
      </c>
      <c r="C7" s="72">
        <f>C4+C5-C6</f>
        <v>44799.175999999992</v>
      </c>
      <c r="D7" s="72">
        <f>D4+D5-D6</f>
        <v>43515.199999999997</v>
      </c>
      <c r="E7" s="72">
        <f>E4+E5-E6</f>
        <v>43009.71</v>
      </c>
      <c r="F7" s="72"/>
      <c r="G7" s="73">
        <f>G4+G5-G6</f>
        <v>38520.406356164378</v>
      </c>
      <c r="H7" s="73">
        <f>H4+H5-H6</f>
        <v>46224.487627397248</v>
      </c>
      <c r="I7" s="73">
        <f>I4+I5-I6</f>
        <v>55469.385152876705</v>
      </c>
      <c r="J7" s="73">
        <f>J4+J5-J6</f>
        <v>66563.26218345204</v>
      </c>
      <c r="K7" s="73">
        <f>K4+K5-K6</f>
        <v>79875.914620142459</v>
      </c>
    </row>
    <row r="9" spans="2:11" x14ac:dyDescent="0.15">
      <c r="B9" s="33" t="s">
        <v>87</v>
      </c>
      <c r="C9" s="61">
        <f>Assumptions!C68</f>
        <v>325.35520403580659</v>
      </c>
      <c r="D9" s="61">
        <f>Assumptions!D68</f>
        <v>235.44458671330923</v>
      </c>
      <c r="E9" s="61">
        <f>Assumptions!E68</f>
        <v>159.18246654266508</v>
      </c>
      <c r="F9" s="61">
        <f>Assumptions!F68</f>
        <v>0</v>
      </c>
      <c r="G9" s="61">
        <f>Assumptions!G68</f>
        <v>150</v>
      </c>
      <c r="H9" s="61">
        <f>Assumptions!H68</f>
        <v>150</v>
      </c>
      <c r="I9" s="61">
        <f>Assumptions!I68</f>
        <v>150</v>
      </c>
      <c r="J9" s="61">
        <f>Assumptions!J68</f>
        <v>150</v>
      </c>
      <c r="K9" s="61">
        <f>Assumptions!K68</f>
        <v>150</v>
      </c>
    </row>
    <row r="10" spans="2:11" x14ac:dyDescent="0.15">
      <c r="B10" s="2" t="s">
        <v>88</v>
      </c>
      <c r="C10" s="61">
        <f>Assumptions!C74</f>
        <v>1249.5838466376406</v>
      </c>
      <c r="D10" s="61">
        <f>Assumptions!D74</f>
        <v>1513.8979209874044</v>
      </c>
      <c r="E10" s="61">
        <f>Assumptions!E74</f>
        <v>1088.3195295536475</v>
      </c>
      <c r="F10" s="61">
        <f>Assumptions!F74</f>
        <v>0</v>
      </c>
      <c r="G10" s="61">
        <f>Assumptions!G74</f>
        <v>950</v>
      </c>
      <c r="H10" s="61">
        <f>Assumptions!H74</f>
        <v>950</v>
      </c>
      <c r="I10" s="61">
        <f>Assumptions!I74</f>
        <v>950</v>
      </c>
      <c r="J10" s="61">
        <f>Assumptions!J74</f>
        <v>950</v>
      </c>
      <c r="K10" s="61">
        <f>Assumptions!K74</f>
        <v>950</v>
      </c>
    </row>
    <row r="11" spans="2:11" x14ac:dyDescent="0.15">
      <c r="B11" s="2" t="s">
        <v>89</v>
      </c>
      <c r="C11" s="61">
        <f>Assumptions!C98</f>
        <v>581.58570993227613</v>
      </c>
      <c r="D11" s="61">
        <f>Assumptions!D98</f>
        <v>544.20320198290244</v>
      </c>
      <c r="E11" s="61">
        <f>Assumptions!E98</f>
        <v>424.04127844087293</v>
      </c>
      <c r="F11" s="61">
        <f>Assumptions!F98</f>
        <v>0</v>
      </c>
      <c r="G11" s="61">
        <f>Assumptions!G98</f>
        <v>500</v>
      </c>
      <c r="H11" s="61">
        <f>Assumptions!H98</f>
        <v>500</v>
      </c>
      <c r="I11" s="61">
        <f>Assumptions!I98</f>
        <v>500</v>
      </c>
      <c r="J11" s="61">
        <f>Assumptions!J98</f>
        <v>500</v>
      </c>
      <c r="K11" s="61">
        <f>Assumptions!K98</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Index</vt:lpstr>
      <vt:lpstr>1) Sources --&gt;</vt:lpstr>
      <vt:lpstr>P&amp;L source</vt:lpstr>
      <vt:lpstr>BS source</vt:lpstr>
      <vt:lpstr>CF source</vt:lpstr>
      <vt:lpstr>2) 3 Statement model --&gt;</vt:lpstr>
      <vt:lpstr>Assumptions</vt:lpstr>
      <vt:lpstr>P&amp;L and BS</vt:lpstr>
      <vt:lpstr>Cash Flow</vt:lpstr>
      <vt:lpstr>3) DCF Model--&gt;</vt:lpstr>
      <vt:lpstr>DCF valuation</vt:lpstr>
      <vt:lpstr>DCF results</vt:lpstr>
      <vt:lpstr>4) Charts  --&gt;</vt:lpstr>
      <vt:lpstr>Revenues&amp;Ebitda</vt:lpstr>
      <vt:lpstr>Cash flows</vt:lpstr>
      <vt:lpstr>Ebitda bridge</vt:lpstr>
      <vt:lpstr>Working capital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Arsen Tagibekov</dc:creator>
  <cp:lastModifiedBy>Arsen Tagibekov</cp:lastModifiedBy>
  <dcterms:created xsi:type="dcterms:W3CDTF">2025-06-10T03:41:41Z</dcterms:created>
  <dcterms:modified xsi:type="dcterms:W3CDTF">2025-06-21T19:46:51Z</dcterms:modified>
</cp:coreProperties>
</file>