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drawings/drawing4.xml" ContentType="application/vnd.openxmlformats-officedocument.drawingml.chartshapes+xml"/>
  <Override PartName="/xl/charts/chart3.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4.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5.xml" ContentType="application/vnd.openxmlformats-officedocument.drawingml.chart+xml"/>
  <Override PartName="/xl/drawings/drawing9.xml" ContentType="application/vnd.openxmlformats-officedocument.drawing+xml"/>
  <Override PartName="/xl/charts/chart6.xml" ContentType="application/vnd.openxmlformats-officedocument.drawingml.chart+xml"/>
  <Override PartName="/xl/drawings/drawing10.xml" ContentType="application/vnd.openxmlformats-officedocument.drawing+xml"/>
  <Override PartName="/xl/charts/chart7.xml" ContentType="application/vnd.openxmlformats-officedocument.drawingml.chart+xml"/>
  <Override PartName="/xl/drawings/drawing11.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admin/Desktop/Courses and Projects (Finance &amp; Data Science )/Job Hunting &amp; Portfolio Projects/Ashgabat/Valuation of Saudi Aramco/"/>
    </mc:Choice>
  </mc:AlternateContent>
  <xr:revisionPtr revIDLastSave="0" documentId="13_ncr:1_{A7BC4983-662F-B642-A7A6-BEA40A41FDC9}" xr6:coauthVersionLast="47" xr6:coauthVersionMax="47" xr10:uidLastSave="{00000000-0000-0000-0000-000000000000}"/>
  <bookViews>
    <workbookView xWindow="0" yWindow="500" windowWidth="28800" windowHeight="16580" firstSheet="5" activeTab="14" xr2:uid="{9220FE13-073F-4241-9DB0-BDA00FD1E26F}"/>
  </bookViews>
  <sheets>
    <sheet name="Index" sheetId="1" r:id="rId1"/>
    <sheet name="1) Sources --&gt;" sheetId="17" r:id="rId2"/>
    <sheet name="P&amp;L source" sheetId="18" r:id="rId3"/>
    <sheet name="BS source" sheetId="19" r:id="rId4"/>
    <sheet name="CF source" sheetId="21" r:id="rId5"/>
    <sheet name="2) 3 Statement Model --&gt;" sheetId="3" r:id="rId6"/>
    <sheet name="Assumptions" sheetId="4" r:id="rId7"/>
    <sheet name="P&amp;L and BS" sheetId="7" r:id="rId8"/>
    <sheet name="Cash Flow" sheetId="9" r:id="rId9"/>
    <sheet name="3) DCF Model--&gt;" sheetId="6" r:id="rId10"/>
    <sheet name="WACC" sheetId="25" r:id="rId11"/>
    <sheet name="DCF valuation" sheetId="10" r:id="rId12"/>
    <sheet name="DCF results" sheetId="16" r:id="rId13"/>
    <sheet name="4) Comps Model  --&gt;" sheetId="22" r:id="rId14"/>
    <sheet name="Comps Model" sheetId="24" r:id="rId15"/>
    <sheet name="5) Charts  --&gt;" sheetId="11" r:id="rId16"/>
    <sheet name="Revenues&amp;Ebitda" sheetId="12" r:id="rId17"/>
    <sheet name="Cash flows" sheetId="13" r:id="rId18"/>
    <sheet name="Ebitda bridge" sheetId="14" r:id="rId19"/>
    <sheet name="Working capital" sheetId="15" r:id="rId2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N26" i="24" l="1"/>
  <c r="N30" i="24"/>
  <c r="P23" i="24"/>
  <c r="O23" i="24"/>
  <c r="N23" i="24"/>
  <c r="P22" i="24"/>
  <c r="O22" i="24"/>
  <c r="N22" i="24"/>
  <c r="P21" i="24"/>
  <c r="O21" i="24"/>
  <c r="N21" i="24"/>
  <c r="N28" i="24" s="1"/>
  <c r="P20" i="24"/>
  <c r="O20" i="24"/>
  <c r="N20" i="24"/>
  <c r="P19" i="24"/>
  <c r="O19" i="24"/>
  <c r="N19" i="24"/>
  <c r="P18" i="24"/>
  <c r="O18" i="24"/>
  <c r="N18" i="24"/>
  <c r="N29" i="24"/>
  <c r="P12" i="24"/>
  <c r="C7" i="25"/>
  <c r="C147" i="4"/>
  <c r="C5" i="10" s="1"/>
  <c r="O26" i="24"/>
  <c r="O28" i="24" s="1"/>
  <c r="P28" i="24"/>
  <c r="P30" i="24" s="1"/>
  <c r="B15" i="1"/>
  <c r="B14" i="1"/>
  <c r="C6" i="25"/>
  <c r="C17" i="25"/>
  <c r="P26" i="24" l="1"/>
  <c r="C13" i="25"/>
  <c r="C12" i="25" l="1"/>
  <c r="C5" i="25" l="1"/>
  <c r="D8" i="24"/>
  <c r="L8" i="24"/>
  <c r="P29" i="24" l="1"/>
  <c r="O29" i="24"/>
  <c r="L15" i="24"/>
  <c r="K15" i="24"/>
  <c r="J15" i="24"/>
  <c r="G15" i="24"/>
  <c r="D15" i="24"/>
  <c r="G8" i="24"/>
  <c r="P27" i="24" s="1"/>
  <c r="F8" i="24"/>
  <c r="H8" i="24" s="1"/>
  <c r="K8" i="24"/>
  <c r="J8" i="24"/>
  <c r="O27" i="24" l="1"/>
  <c r="N27" i="24"/>
  <c r="F14" i="24"/>
  <c r="H14" i="24" s="1"/>
  <c r="F15" i="24"/>
  <c r="P15" i="24" s="1"/>
  <c r="F16" i="24"/>
  <c r="P16" i="24" s="1"/>
  <c r="H16" i="24" l="1"/>
  <c r="H15" i="24"/>
  <c r="O14" i="24"/>
  <c r="N14" i="24"/>
  <c r="P14" i="24"/>
  <c r="F13" i="24"/>
  <c r="P13" i="24" s="1"/>
  <c r="F12" i="24"/>
  <c r="F11" i="24"/>
  <c r="P11" i="24" s="1"/>
  <c r="F10" i="24"/>
  <c r="P10" i="24" s="1"/>
  <c r="F9" i="24"/>
  <c r="H9" i="24" s="1"/>
  <c r="H12" i="24" l="1"/>
  <c r="O16" i="24"/>
  <c r="N16" i="24"/>
  <c r="O15" i="24"/>
  <c r="N15" i="24"/>
  <c r="P8" i="24"/>
  <c r="N8" i="24"/>
  <c r="P9" i="24"/>
  <c r="O9" i="24"/>
  <c r="N9" i="24"/>
  <c r="N12" i="24"/>
  <c r="O12" i="24"/>
  <c r="H11" i="24"/>
  <c r="N11" i="24" s="1"/>
  <c r="H13" i="24"/>
  <c r="H10" i="24"/>
  <c r="B6" i="1"/>
  <c r="B7" i="1" s="1"/>
  <c r="B9" i="1" s="1"/>
  <c r="B10" i="1" s="1"/>
  <c r="B11" i="1" s="1"/>
  <c r="B12" i="1" s="1"/>
  <c r="B13" i="1" s="1"/>
  <c r="B16" i="1" s="1"/>
  <c r="D11" i="15"/>
  <c r="E11" i="15"/>
  <c r="F11" i="15"/>
  <c r="C11" i="15"/>
  <c r="D10" i="15"/>
  <c r="E10" i="15"/>
  <c r="F10" i="15"/>
  <c r="C10" i="15"/>
  <c r="D9" i="15"/>
  <c r="E9" i="15"/>
  <c r="F9" i="15"/>
  <c r="C9" i="15"/>
  <c r="C20" i="10"/>
  <c r="B17" i="1" l="1"/>
  <c r="B18" i="1" s="1"/>
  <c r="B19" i="1" s="1"/>
  <c r="B20" i="1" s="1"/>
  <c r="B21" i="1" s="1"/>
  <c r="B22" i="1" s="1"/>
  <c r="B23" i="1" s="1"/>
  <c r="O11" i="24"/>
  <c r="O10" i="24"/>
  <c r="N10" i="24"/>
  <c r="O13" i="24"/>
  <c r="N13" i="24"/>
  <c r="O8" i="24"/>
  <c r="D30" i="9"/>
  <c r="E82" i="4"/>
  <c r="D82" i="4"/>
  <c r="C82" i="4"/>
  <c r="E76" i="4"/>
  <c r="D76" i="4"/>
  <c r="C76" i="4"/>
  <c r="E43" i="9"/>
  <c r="F43" i="9"/>
  <c r="D43" i="9"/>
  <c r="E42" i="9"/>
  <c r="F42" i="9"/>
  <c r="D42" i="9"/>
  <c r="D31" i="9" l="1"/>
  <c r="G27" i="9"/>
  <c r="F27" i="9"/>
  <c r="F24" i="9"/>
  <c r="D140" i="4"/>
  <c r="E140" i="4"/>
  <c r="C140" i="4"/>
  <c r="K141" i="4"/>
  <c r="K140" i="4" s="1"/>
  <c r="K23" i="9" s="1"/>
  <c r="J141" i="4"/>
  <c r="J140" i="4" s="1"/>
  <c r="J23" i="9" s="1"/>
  <c r="I141" i="4"/>
  <c r="I140" i="4" s="1"/>
  <c r="I23" i="9" s="1"/>
  <c r="H141" i="4"/>
  <c r="H140" i="4" s="1"/>
  <c r="H23" i="9" s="1"/>
  <c r="G141" i="4"/>
  <c r="G140" i="4" s="1"/>
  <c r="G23" i="9" s="1"/>
  <c r="D135" i="4"/>
  <c r="E135" i="4"/>
  <c r="C135" i="4"/>
  <c r="D134" i="4"/>
  <c r="E134" i="4"/>
  <c r="C134" i="4"/>
  <c r="K135" i="4"/>
  <c r="J135" i="4"/>
  <c r="I135" i="4"/>
  <c r="H135" i="4"/>
  <c r="G135" i="4"/>
  <c r="F17" i="9"/>
  <c r="K129" i="4"/>
  <c r="J129" i="4"/>
  <c r="I129" i="4"/>
  <c r="H129" i="4"/>
  <c r="G129" i="4"/>
  <c r="G128" i="4" s="1"/>
  <c r="D128" i="4"/>
  <c r="E128" i="4"/>
  <c r="C128" i="4"/>
  <c r="D123" i="4"/>
  <c r="E123" i="4"/>
  <c r="C123" i="4"/>
  <c r="D122" i="4"/>
  <c r="E122" i="4"/>
  <c r="C122" i="4"/>
  <c r="K123" i="4"/>
  <c r="J123" i="4"/>
  <c r="I123" i="4"/>
  <c r="H123" i="4"/>
  <c r="G123" i="4"/>
  <c r="G122" i="4" s="1"/>
  <c r="G15" i="9" s="1"/>
  <c r="O30" i="24" l="1"/>
  <c r="H128" i="4"/>
  <c r="G16" i="9"/>
  <c r="G17" i="9" s="1"/>
  <c r="G42" i="9"/>
  <c r="H122" i="4"/>
  <c r="I122" i="4" l="1"/>
  <c r="H15" i="9"/>
  <c r="H16" i="9"/>
  <c r="I128" i="4"/>
  <c r="D105" i="4"/>
  <c r="E105" i="4"/>
  <c r="C105" i="4"/>
  <c r="D32" i="7"/>
  <c r="E32" i="7"/>
  <c r="D31" i="7"/>
  <c r="E31" i="7"/>
  <c r="C32" i="7"/>
  <c r="I16" i="9" l="1"/>
  <c r="J128" i="4"/>
  <c r="H42" i="9"/>
  <c r="H17" i="9"/>
  <c r="J122" i="4"/>
  <c r="I15" i="9"/>
  <c r="E27" i="9"/>
  <c r="D27" i="9"/>
  <c r="K128" i="4" l="1"/>
  <c r="K16" i="9" s="1"/>
  <c r="J16" i="9"/>
  <c r="I17" i="9"/>
  <c r="I42" i="9"/>
  <c r="K122" i="4"/>
  <c r="K15" i="9" s="1"/>
  <c r="J15" i="9"/>
  <c r="E22" i="9"/>
  <c r="D22" i="9"/>
  <c r="E24" i="9"/>
  <c r="D24" i="9"/>
  <c r="E20" i="9"/>
  <c r="D20" i="9"/>
  <c r="E23" i="9"/>
  <c r="D23" i="9"/>
  <c r="E21" i="9"/>
  <c r="D21" i="9"/>
  <c r="E17" i="9"/>
  <c r="D17" i="9"/>
  <c r="D15" i="9"/>
  <c r="D16" i="9"/>
  <c r="E16" i="9"/>
  <c r="E15" i="9"/>
  <c r="E11" i="9"/>
  <c r="D11" i="9"/>
  <c r="E10" i="9"/>
  <c r="D10" i="9"/>
  <c r="K42" i="9" l="1"/>
  <c r="K17" i="9"/>
  <c r="J42" i="9"/>
  <c r="J17" i="9"/>
  <c r="D111" i="4"/>
  <c r="E111" i="4"/>
  <c r="C111" i="4"/>
  <c r="C106" i="4"/>
  <c r="D40" i="7"/>
  <c r="E40" i="7"/>
  <c r="C40" i="7"/>
  <c r="F39" i="7"/>
  <c r="E39" i="7"/>
  <c r="D39" i="7"/>
  <c r="C39" i="7"/>
  <c r="F38" i="7"/>
  <c r="F37" i="7"/>
  <c r="F36" i="7"/>
  <c r="F6" i="15" s="1"/>
  <c r="F31" i="7"/>
  <c r="C31" i="7"/>
  <c r="F30" i="7"/>
  <c r="F5" i="15" s="1"/>
  <c r="F29" i="7"/>
  <c r="F4" i="15" s="1"/>
  <c r="F28" i="7"/>
  <c r="F27" i="7"/>
  <c r="F8" i="7"/>
  <c r="E8" i="7"/>
  <c r="D8" i="7"/>
  <c r="C8" i="7"/>
  <c r="F5" i="7"/>
  <c r="E5" i="7"/>
  <c r="D5" i="7"/>
  <c r="C5" i="7"/>
  <c r="K94" i="4"/>
  <c r="J94" i="4"/>
  <c r="I94" i="4"/>
  <c r="H94" i="4"/>
  <c r="G94" i="4"/>
  <c r="D93" i="4"/>
  <c r="D38" i="7" s="1"/>
  <c r="E93" i="4"/>
  <c r="E94" i="4" s="1"/>
  <c r="C93" i="4"/>
  <c r="C38" i="7" s="1"/>
  <c r="G82" i="4"/>
  <c r="G9" i="15" s="1"/>
  <c r="G76" i="4"/>
  <c r="G10" i="15" s="1"/>
  <c r="D106" i="4"/>
  <c r="D87" i="4"/>
  <c r="D88" i="4" s="1"/>
  <c r="E87" i="4"/>
  <c r="E88" i="4" s="1"/>
  <c r="C87" i="4"/>
  <c r="C88" i="4" s="1"/>
  <c r="D81" i="4"/>
  <c r="E81" i="4"/>
  <c r="C81" i="4"/>
  <c r="J36" i="19"/>
  <c r="D99" i="4"/>
  <c r="D37" i="7" s="1"/>
  <c r="E99" i="4"/>
  <c r="E37" i="7" s="1"/>
  <c r="C19" i="10" s="1"/>
  <c r="C99" i="4"/>
  <c r="C37" i="7" s="1"/>
  <c r="G88" i="4"/>
  <c r="G11" i="15" s="1"/>
  <c r="K88" i="4"/>
  <c r="K11" i="15" s="1"/>
  <c r="J88" i="4"/>
  <c r="J11" i="15" s="1"/>
  <c r="I88" i="4"/>
  <c r="I11" i="15" s="1"/>
  <c r="H88" i="4"/>
  <c r="H11" i="15" s="1"/>
  <c r="K82" i="4"/>
  <c r="K9" i="15" s="1"/>
  <c r="J82" i="4"/>
  <c r="J9" i="15" s="1"/>
  <c r="I82" i="4"/>
  <c r="I9" i="15" s="1"/>
  <c r="H82" i="4"/>
  <c r="H9" i="15" s="1"/>
  <c r="K112" i="4"/>
  <c r="J112" i="4"/>
  <c r="I112" i="4"/>
  <c r="H112" i="4"/>
  <c r="G112" i="4"/>
  <c r="K106" i="4"/>
  <c r="J106" i="4"/>
  <c r="I106" i="4"/>
  <c r="H106" i="4"/>
  <c r="G106" i="4"/>
  <c r="K100" i="4"/>
  <c r="J100" i="4"/>
  <c r="I100" i="4"/>
  <c r="H100" i="4"/>
  <c r="G100" i="4"/>
  <c r="K76" i="4"/>
  <c r="K10" i="15" s="1"/>
  <c r="J76" i="4"/>
  <c r="J10" i="15" s="1"/>
  <c r="I76" i="4"/>
  <c r="I10" i="15" s="1"/>
  <c r="H76" i="4"/>
  <c r="H10" i="15" s="1"/>
  <c r="D75" i="4"/>
  <c r="E75" i="4"/>
  <c r="C75" i="4"/>
  <c r="D69" i="4"/>
  <c r="D28" i="7" s="1"/>
  <c r="E69" i="4"/>
  <c r="C69" i="4"/>
  <c r="C28" i="7" s="1"/>
  <c r="K70" i="4"/>
  <c r="J70" i="4"/>
  <c r="I70" i="4"/>
  <c r="H70" i="4"/>
  <c r="G70" i="4"/>
  <c r="K64" i="4"/>
  <c r="J64" i="4"/>
  <c r="I64" i="4"/>
  <c r="H64" i="4"/>
  <c r="G64" i="4"/>
  <c r="D63" i="4"/>
  <c r="D27" i="7" s="1"/>
  <c r="E63" i="4"/>
  <c r="E27" i="7" s="1"/>
  <c r="C63" i="4"/>
  <c r="C27" i="7" s="1"/>
  <c r="E30" i="7" l="1"/>
  <c r="E5" i="15" s="1"/>
  <c r="D29" i="7"/>
  <c r="D4" i="15" s="1"/>
  <c r="C29" i="7"/>
  <c r="C4" i="15" s="1"/>
  <c r="E70" i="4"/>
  <c r="E28" i="7"/>
  <c r="D30" i="7"/>
  <c r="D5" i="15" s="1"/>
  <c r="E29" i="7"/>
  <c r="E4" i="15" s="1"/>
  <c r="E106" i="4"/>
  <c r="C30" i="7"/>
  <c r="C5" i="15" s="1"/>
  <c r="E38" i="7"/>
  <c r="D36" i="7"/>
  <c r="E36" i="7"/>
  <c r="E6" i="15" s="1"/>
  <c r="G93" i="4"/>
  <c r="H93" i="4" s="1"/>
  <c r="C36" i="7"/>
  <c r="G99" i="4"/>
  <c r="H99" i="4" s="1"/>
  <c r="H37" i="7" s="1"/>
  <c r="F34" i="7"/>
  <c r="F44" i="7" s="1"/>
  <c r="D70" i="4"/>
  <c r="D64" i="4"/>
  <c r="G63" i="4"/>
  <c r="D100" i="4"/>
  <c r="D112" i="4"/>
  <c r="E100" i="4"/>
  <c r="E64" i="4"/>
  <c r="G69" i="4"/>
  <c r="D94" i="4"/>
  <c r="E112" i="4"/>
  <c r="D27" i="4"/>
  <c r="D28" i="4" s="1"/>
  <c r="E27" i="4"/>
  <c r="E28" i="4" s="1"/>
  <c r="C27" i="4"/>
  <c r="D9" i="4"/>
  <c r="E9" i="4"/>
  <c r="C9" i="4"/>
  <c r="D45" i="4"/>
  <c r="E45" i="4"/>
  <c r="C45" i="4"/>
  <c r="D39" i="4"/>
  <c r="E39" i="4"/>
  <c r="C39" i="4"/>
  <c r="D33" i="4"/>
  <c r="E33" i="4"/>
  <c r="C33" i="4"/>
  <c r="D21" i="4"/>
  <c r="E21" i="4"/>
  <c r="C21" i="4"/>
  <c r="E29" i="18"/>
  <c r="F29" i="18"/>
  <c r="D29" i="18"/>
  <c r="E28" i="18"/>
  <c r="F28" i="18"/>
  <c r="D28" i="18"/>
  <c r="E27" i="18"/>
  <c r="F27" i="18"/>
  <c r="E15" i="4" s="1"/>
  <c r="E53" i="4" s="1"/>
  <c r="E34" i="4" s="1"/>
  <c r="D27" i="18"/>
  <c r="D15" i="4"/>
  <c r="C15" i="4"/>
  <c r="D42" i="7" l="1"/>
  <c r="D6" i="15"/>
  <c r="C42" i="7"/>
  <c r="C6" i="15"/>
  <c r="C34" i="7"/>
  <c r="E34" i="7"/>
  <c r="D34" i="7"/>
  <c r="D44" i="7" s="1"/>
  <c r="E42" i="7"/>
  <c r="G38" i="7"/>
  <c r="H69" i="4"/>
  <c r="G28" i="7"/>
  <c r="I93" i="4"/>
  <c r="H38" i="7"/>
  <c r="H63" i="4"/>
  <c r="G27" i="7"/>
  <c r="G37" i="7"/>
  <c r="G20" i="9" s="1"/>
  <c r="I99" i="4"/>
  <c r="I37" i="7" s="1"/>
  <c r="I20" i="9" s="1"/>
  <c r="C53" i="4"/>
  <c r="C54" i="4" s="1"/>
  <c r="C46" i="4" s="1"/>
  <c r="D53" i="4"/>
  <c r="D34" i="4" s="1"/>
  <c r="L36" i="19"/>
  <c r="C44" i="7" l="1"/>
  <c r="H20" i="9"/>
  <c r="E44" i="7"/>
  <c r="I63" i="4"/>
  <c r="H27" i="7"/>
  <c r="I38" i="7"/>
  <c r="J93" i="4"/>
  <c r="I69" i="4"/>
  <c r="H28" i="7"/>
  <c r="J99" i="4"/>
  <c r="J37" i="7" s="1"/>
  <c r="J20" i="9" s="1"/>
  <c r="C34" i="4"/>
  <c r="J69" i="4" l="1"/>
  <c r="I28" i="7"/>
  <c r="K93" i="4"/>
  <c r="K38" i="7" s="1"/>
  <c r="J38" i="7"/>
  <c r="I27" i="7"/>
  <c r="J63" i="4"/>
  <c r="K99" i="4"/>
  <c r="K37" i="7" l="1"/>
  <c r="K20" i="9" s="1"/>
  <c r="J27" i="7"/>
  <c r="K63" i="4"/>
  <c r="K69" i="4"/>
  <c r="K28" i="7" s="1"/>
  <c r="J28" i="7"/>
  <c r="K27" i="7" l="1"/>
  <c r="K36" i="19"/>
  <c r="D40" i="4" l="1"/>
  <c r="E40" i="4"/>
  <c r="F19" i="7" l="1"/>
  <c r="F5" i="9" s="1"/>
  <c r="F6" i="9" s="1"/>
  <c r="F15" i="7"/>
  <c r="F14" i="7"/>
  <c r="F11" i="7"/>
  <c r="F9" i="9" s="1"/>
  <c r="F41" i="9" s="1"/>
  <c r="F12" i="9" l="1"/>
  <c r="F26" i="9" s="1"/>
  <c r="F28" i="9" s="1"/>
  <c r="F4" i="7" l="1"/>
  <c r="F6" i="7" l="1"/>
  <c r="F9" i="7" s="1"/>
  <c r="F4" i="12"/>
  <c r="K46" i="4"/>
  <c r="J46" i="4"/>
  <c r="I46" i="4"/>
  <c r="H46" i="4"/>
  <c r="G46" i="4"/>
  <c r="K40" i="4"/>
  <c r="K39" i="4" s="1"/>
  <c r="J40" i="4"/>
  <c r="J39" i="4" s="1"/>
  <c r="I40" i="4"/>
  <c r="I39" i="4" s="1"/>
  <c r="H40" i="4"/>
  <c r="H39" i="4" s="1"/>
  <c r="G40" i="4"/>
  <c r="G39" i="4" s="1"/>
  <c r="K34" i="4"/>
  <c r="J34" i="4"/>
  <c r="I34" i="4"/>
  <c r="H34" i="4"/>
  <c r="G34" i="4"/>
  <c r="K28" i="4"/>
  <c r="K27" i="4" s="1"/>
  <c r="J28" i="4"/>
  <c r="J27" i="4" s="1"/>
  <c r="I28" i="4"/>
  <c r="I27" i="4" s="1"/>
  <c r="H28" i="4"/>
  <c r="H27" i="4" s="1"/>
  <c r="G28" i="4"/>
  <c r="G27" i="4" s="1"/>
  <c r="K22" i="4"/>
  <c r="J22" i="4"/>
  <c r="I22" i="4"/>
  <c r="H22" i="4"/>
  <c r="G22" i="4"/>
  <c r="K16" i="4"/>
  <c r="J16" i="4"/>
  <c r="I16" i="4"/>
  <c r="H16" i="4"/>
  <c r="G16" i="4"/>
  <c r="H10" i="4"/>
  <c r="I10" i="4"/>
  <c r="J10" i="4"/>
  <c r="K10" i="4"/>
  <c r="G10" i="4"/>
  <c r="F12" i="7" l="1"/>
  <c r="F37" i="9" s="1"/>
  <c r="F39" i="9" s="1"/>
  <c r="F44" i="9" s="1"/>
  <c r="F8" i="10" s="1"/>
  <c r="F5" i="12"/>
  <c r="D19" i="7"/>
  <c r="D5" i="9" s="1"/>
  <c r="E19" i="7"/>
  <c r="E5" i="9" s="1"/>
  <c r="C19" i="7"/>
  <c r="D15" i="7"/>
  <c r="E15" i="7"/>
  <c r="C15" i="7"/>
  <c r="D14" i="7"/>
  <c r="E14" i="7"/>
  <c r="C14" i="7"/>
  <c r="D11" i="7" l="1"/>
  <c r="D9" i="9" s="1"/>
  <c r="D41" i="9" s="1"/>
  <c r="C11" i="7"/>
  <c r="E11" i="7"/>
  <c r="E9" i="9" s="1"/>
  <c r="E41" i="9" s="1"/>
  <c r="D4" i="7"/>
  <c r="D6" i="7" l="1"/>
  <c r="D9" i="7" s="1"/>
  <c r="D5" i="12" s="1"/>
  <c r="D4" i="12"/>
  <c r="C4" i="7"/>
  <c r="E16" i="4"/>
  <c r="E4" i="7"/>
  <c r="C22" i="4"/>
  <c r="E22" i="4"/>
  <c r="C16" i="4"/>
  <c r="D16" i="4"/>
  <c r="D22" i="4"/>
  <c r="C55" i="4"/>
  <c r="E10" i="4"/>
  <c r="G9" i="4"/>
  <c r="D10" i="4"/>
  <c r="F15" i="18"/>
  <c r="F6" i="18"/>
  <c r="D12" i="7" l="1"/>
  <c r="D37" i="9" s="1"/>
  <c r="C6" i="7"/>
  <c r="C9" i="7" s="1"/>
  <c r="C4" i="12"/>
  <c r="E6" i="7"/>
  <c r="E9" i="7" s="1"/>
  <c r="C3" i="14" s="1"/>
  <c r="E4" i="12"/>
  <c r="G105" i="4"/>
  <c r="G31" i="7" s="1"/>
  <c r="G81" i="4"/>
  <c r="G30" i="7" s="1"/>
  <c r="G5" i="15" s="1"/>
  <c r="G21" i="4"/>
  <c r="G8" i="7" s="1"/>
  <c r="C6" i="14" s="1"/>
  <c r="G15" i="4"/>
  <c r="G111" i="4"/>
  <c r="G39" i="7" s="1"/>
  <c r="E54" i="4"/>
  <c r="D54" i="4"/>
  <c r="G4" i="7"/>
  <c r="F16" i="18"/>
  <c r="F21" i="18" s="1"/>
  <c r="F23" i="18"/>
  <c r="G15" i="7"/>
  <c r="H9" i="4"/>
  <c r="L25" i="19"/>
  <c r="K25" i="19"/>
  <c r="J25" i="19"/>
  <c r="K18" i="19"/>
  <c r="L18" i="19"/>
  <c r="J18" i="19"/>
  <c r="K12" i="19"/>
  <c r="L12" i="19"/>
  <c r="J12" i="19"/>
  <c r="E20" i="19"/>
  <c r="F20" i="19"/>
  <c r="D20" i="19"/>
  <c r="E12" i="19"/>
  <c r="F12" i="19"/>
  <c r="D12" i="19"/>
  <c r="E15" i="18"/>
  <c r="D15" i="18"/>
  <c r="D16" i="18" s="1"/>
  <c r="D21" i="18" s="1"/>
  <c r="E6" i="18"/>
  <c r="E16" i="18" s="1"/>
  <c r="E21" i="18" s="1"/>
  <c r="D6" i="18"/>
  <c r="G4" i="12" l="1"/>
  <c r="C4" i="14"/>
  <c r="L3" i="14" s="1"/>
  <c r="E12" i="7"/>
  <c r="E37" i="9" s="1"/>
  <c r="E5" i="12"/>
  <c r="C12" i="7"/>
  <c r="C5" i="12"/>
  <c r="C6" i="12" s="1"/>
  <c r="G22" i="9"/>
  <c r="H105" i="4"/>
  <c r="H31" i="7" s="1"/>
  <c r="H81" i="4"/>
  <c r="H30" i="7" s="1"/>
  <c r="H5" i="15" s="1"/>
  <c r="G5" i="7"/>
  <c r="G75" i="4"/>
  <c r="G29" i="7" s="1"/>
  <c r="G4" i="15" s="1"/>
  <c r="G87" i="4"/>
  <c r="G36" i="7" s="1"/>
  <c r="E55" i="4"/>
  <c r="E46" i="4"/>
  <c r="H4" i="7"/>
  <c r="H4" i="12" s="1"/>
  <c r="H111" i="4"/>
  <c r="H39" i="7" s="1"/>
  <c r="D55" i="4"/>
  <c r="D46" i="4"/>
  <c r="K29" i="19"/>
  <c r="J29" i="19"/>
  <c r="D24" i="19"/>
  <c r="G53" i="4"/>
  <c r="G33" i="4" s="1"/>
  <c r="K31" i="19"/>
  <c r="K34" i="19" s="1"/>
  <c r="D23" i="18"/>
  <c r="E23" i="18"/>
  <c r="I9" i="4"/>
  <c r="H21" i="4"/>
  <c r="H8" i="7" s="1"/>
  <c r="H15" i="7"/>
  <c r="H15" i="4"/>
  <c r="E24" i="19"/>
  <c r="J31" i="19"/>
  <c r="J34" i="19" s="1"/>
  <c r="L29" i="19"/>
  <c r="L31" i="19" s="1"/>
  <c r="F24" i="19"/>
  <c r="E7" i="15"/>
  <c r="N3" i="14"/>
  <c r="O4" i="14"/>
  <c r="N4" i="14"/>
  <c r="M4" i="14"/>
  <c r="L4" i="14"/>
  <c r="K4" i="14"/>
  <c r="K2" i="14"/>
  <c r="L2" i="14" s="1"/>
  <c r="G6" i="15" l="1"/>
  <c r="G6" i="7"/>
  <c r="G9" i="7" s="1"/>
  <c r="C5" i="14"/>
  <c r="M3" i="14" s="1"/>
  <c r="H22" i="9"/>
  <c r="G10" i="9"/>
  <c r="G43" i="9" s="1"/>
  <c r="I105" i="4"/>
  <c r="I31" i="7" s="1"/>
  <c r="I81" i="4"/>
  <c r="I30" i="7" s="1"/>
  <c r="I5" i="15" s="1"/>
  <c r="H5" i="7"/>
  <c r="H6" i="7" s="1"/>
  <c r="H9" i="7" s="1"/>
  <c r="H5" i="12" s="1"/>
  <c r="H6" i="12" s="1"/>
  <c r="H75" i="4"/>
  <c r="H29" i="7" s="1"/>
  <c r="H4" i="15" s="1"/>
  <c r="H87" i="4"/>
  <c r="H36" i="7" s="1"/>
  <c r="H6" i="15" s="1"/>
  <c r="I111" i="4"/>
  <c r="I39" i="7" s="1"/>
  <c r="G14" i="7"/>
  <c r="G11" i="7"/>
  <c r="I4" i="7"/>
  <c r="I4" i="12" s="1"/>
  <c r="I15" i="7"/>
  <c r="J9" i="4"/>
  <c r="I21" i="4"/>
  <c r="I8" i="7" s="1"/>
  <c r="I15" i="4"/>
  <c r="L34" i="19"/>
  <c r="C7" i="15"/>
  <c r="G7" i="15"/>
  <c r="D6" i="12"/>
  <c r="D7" i="15"/>
  <c r="E6" i="12"/>
  <c r="M2" i="14" l="1"/>
  <c r="N2" i="14" s="1"/>
  <c r="O3" i="14" s="1"/>
  <c r="H7" i="15"/>
  <c r="G5" i="12"/>
  <c r="G6" i="12" s="1"/>
  <c r="C7" i="14"/>
  <c r="I22" i="9"/>
  <c r="H10" i="9"/>
  <c r="H43" i="9" s="1"/>
  <c r="G12" i="7"/>
  <c r="G37" i="9" s="1"/>
  <c r="G9" i="9"/>
  <c r="G41" i="9" s="1"/>
  <c r="I5" i="7"/>
  <c r="I6" i="7" s="1"/>
  <c r="I9" i="7" s="1"/>
  <c r="I5" i="12" s="1"/>
  <c r="I6" i="12" s="1"/>
  <c r="I87" i="4"/>
  <c r="I36" i="7" s="1"/>
  <c r="I6" i="15" s="1"/>
  <c r="I75" i="4"/>
  <c r="I29" i="7" s="1"/>
  <c r="I4" i="15" s="1"/>
  <c r="J105" i="4"/>
  <c r="J31" i="7" s="1"/>
  <c r="J81" i="4"/>
  <c r="J30" i="7" s="1"/>
  <c r="J5" i="15" s="1"/>
  <c r="J4" i="7"/>
  <c r="J4" i="12" s="1"/>
  <c r="J111" i="4"/>
  <c r="J39" i="7" s="1"/>
  <c r="G54" i="4"/>
  <c r="H53" i="4"/>
  <c r="H33" i="4" s="1"/>
  <c r="H14" i="7" s="1"/>
  <c r="H11" i="7"/>
  <c r="J15" i="4"/>
  <c r="K9" i="4"/>
  <c r="J21" i="4"/>
  <c r="J8" i="7" s="1"/>
  <c r="J15" i="7"/>
  <c r="I7" i="15" l="1"/>
  <c r="J22" i="9"/>
  <c r="I10" i="9"/>
  <c r="I43" i="9" s="1"/>
  <c r="H12" i="7"/>
  <c r="H37" i="9" s="1"/>
  <c r="H9" i="9"/>
  <c r="H41" i="9" s="1"/>
  <c r="K105" i="4"/>
  <c r="K31" i="7" s="1"/>
  <c r="K81" i="4"/>
  <c r="K30" i="7" s="1"/>
  <c r="K5" i="15" s="1"/>
  <c r="J5" i="7"/>
  <c r="J6" i="7" s="1"/>
  <c r="J9" i="7" s="1"/>
  <c r="J5" i="12" s="1"/>
  <c r="J6" i="12" s="1"/>
  <c r="J75" i="4"/>
  <c r="J29" i="7" s="1"/>
  <c r="J4" i="15" s="1"/>
  <c r="J87" i="4"/>
  <c r="J36" i="7" s="1"/>
  <c r="J6" i="15" s="1"/>
  <c r="G45" i="4"/>
  <c r="G19" i="7" s="1"/>
  <c r="G5" i="9" s="1"/>
  <c r="K4" i="7"/>
  <c r="K4" i="12" s="1"/>
  <c r="K111" i="4"/>
  <c r="K39" i="7" s="1"/>
  <c r="I53" i="4"/>
  <c r="I33" i="4" s="1"/>
  <c r="I14" i="7" s="1"/>
  <c r="I11" i="7"/>
  <c r="H54" i="4"/>
  <c r="H45" i="4" s="1"/>
  <c r="H19" i="7" s="1"/>
  <c r="H5" i="9" s="1"/>
  <c r="K15" i="7"/>
  <c r="K15" i="4"/>
  <c r="K21" i="4"/>
  <c r="K8" i="7" s="1"/>
  <c r="J7" i="15" l="1"/>
  <c r="K22" i="9"/>
  <c r="J10" i="9"/>
  <c r="J43" i="9" s="1"/>
  <c r="I12" i="7"/>
  <c r="I37" i="9" s="1"/>
  <c r="I9" i="9"/>
  <c r="I41" i="9" s="1"/>
  <c r="G55" i="4"/>
  <c r="G134" i="4" s="1"/>
  <c r="G21" i="9" s="1"/>
  <c r="G24" i="9" s="1"/>
  <c r="K5" i="7"/>
  <c r="K6" i="7" s="1"/>
  <c r="K9" i="7" s="1"/>
  <c r="K5" i="12" s="1"/>
  <c r="K6" i="12" s="1"/>
  <c r="K87" i="4"/>
  <c r="K36" i="7" s="1"/>
  <c r="K6" i="15" s="1"/>
  <c r="K75" i="4"/>
  <c r="K29" i="7" s="1"/>
  <c r="K4" i="15" s="1"/>
  <c r="I54" i="4"/>
  <c r="I45" i="4" s="1"/>
  <c r="J53" i="4"/>
  <c r="J11" i="7"/>
  <c r="H55" i="4"/>
  <c r="H134" i="4" s="1"/>
  <c r="H21" i="9" s="1"/>
  <c r="H24" i="9" s="1"/>
  <c r="I19" i="7"/>
  <c r="I5" i="9" s="1"/>
  <c r="K7" i="15" l="1"/>
  <c r="K10" i="9"/>
  <c r="K43" i="9" s="1"/>
  <c r="J12" i="7"/>
  <c r="J37" i="9" s="1"/>
  <c r="J9" i="9"/>
  <c r="J41" i="9" s="1"/>
  <c r="K53" i="4"/>
  <c r="K11" i="7"/>
  <c r="J33" i="4"/>
  <c r="J14" i="7" s="1"/>
  <c r="I55" i="4"/>
  <c r="I134" i="4" s="1"/>
  <c r="I21" i="9" s="1"/>
  <c r="I24" i="9" s="1"/>
  <c r="K9" i="9" l="1"/>
  <c r="K41" i="9" s="1"/>
  <c r="K12" i="7"/>
  <c r="K37" i="9" s="1"/>
  <c r="J54" i="4"/>
  <c r="J45" i="4" s="1"/>
  <c r="J19" i="7" s="1"/>
  <c r="J5" i="9" s="1"/>
  <c r="K33" i="4"/>
  <c r="K14" i="7" s="1"/>
  <c r="K54" i="4" l="1"/>
  <c r="K45" i="4" s="1"/>
  <c r="K19" i="7" s="1"/>
  <c r="K5" i="9" s="1"/>
  <c r="J55" i="4"/>
  <c r="J134" i="4" s="1"/>
  <c r="J21" i="9" s="1"/>
  <c r="J24" i="9" s="1"/>
  <c r="K55" i="4" l="1"/>
  <c r="K134" i="4" s="1"/>
  <c r="K21" i="9" s="1"/>
  <c r="K24" i="9" s="1"/>
  <c r="C16" i="7" l="1"/>
  <c r="C21" i="7" l="1"/>
  <c r="C18" i="7"/>
  <c r="E16" i="7"/>
  <c r="F16" i="7"/>
  <c r="D16" i="7"/>
  <c r="H16" i="7"/>
  <c r="K16" i="7"/>
  <c r="I16" i="7"/>
  <c r="G16" i="7"/>
  <c r="J16" i="7"/>
  <c r="J21" i="7" l="1"/>
  <c r="J4" i="9" s="1"/>
  <c r="J6" i="9" s="1"/>
  <c r="J12" i="9" s="1"/>
  <c r="J26" i="9" s="1"/>
  <c r="G18" i="7"/>
  <c r="G38" i="9" s="1"/>
  <c r="G39" i="9" s="1"/>
  <c r="G44" i="9" s="1"/>
  <c r="G8" i="10" s="1"/>
  <c r="G21" i="7"/>
  <c r="G4" i="9" s="1"/>
  <c r="G6" i="9" s="1"/>
  <c r="G12" i="9" s="1"/>
  <c r="H21" i="7"/>
  <c r="H4" i="9" s="1"/>
  <c r="H6" i="9" s="1"/>
  <c r="H12" i="9" s="1"/>
  <c r="H26" i="9" s="1"/>
  <c r="J18" i="7"/>
  <c r="J38" i="9" s="1"/>
  <c r="J39" i="9" s="1"/>
  <c r="J44" i="9" s="1"/>
  <c r="J8" i="10" s="1"/>
  <c r="I18" i="7"/>
  <c r="I38" i="9" s="1"/>
  <c r="I39" i="9" s="1"/>
  <c r="I44" i="9" s="1"/>
  <c r="I8" i="10" s="1"/>
  <c r="I21" i="7"/>
  <c r="I4" i="9" s="1"/>
  <c r="I6" i="9" s="1"/>
  <c r="I12" i="9" s="1"/>
  <c r="I26" i="9" s="1"/>
  <c r="K18" i="7"/>
  <c r="K38" i="9" s="1"/>
  <c r="K39" i="9" s="1"/>
  <c r="K44" i="9" s="1"/>
  <c r="K8" i="10" s="1"/>
  <c r="K21" i="7"/>
  <c r="K4" i="9" s="1"/>
  <c r="K6" i="9" s="1"/>
  <c r="K12" i="9" s="1"/>
  <c r="K26" i="9" s="1"/>
  <c r="D21" i="7"/>
  <c r="D18" i="7"/>
  <c r="D38" i="9" s="1"/>
  <c r="D39" i="9" s="1"/>
  <c r="D44" i="9" s="1"/>
  <c r="D8" i="10" s="1"/>
  <c r="F21" i="7"/>
  <c r="E21" i="7"/>
  <c r="E18" i="7"/>
  <c r="H18" i="7"/>
  <c r="H38" i="9" s="1"/>
  <c r="H39" i="9" s="1"/>
  <c r="H44" i="9" s="1"/>
  <c r="H8" i="10" s="1"/>
  <c r="G4" i="13" l="1"/>
  <c r="C16" i="10"/>
  <c r="G26" i="9"/>
  <c r="G28" i="9" s="1"/>
  <c r="E38" i="9"/>
  <c r="E39" i="9" s="1"/>
  <c r="E44" i="9" s="1"/>
  <c r="E8" i="10" s="1"/>
  <c r="C15" i="25"/>
  <c r="C19" i="25" s="1"/>
  <c r="C4" i="10" s="1"/>
  <c r="E4" i="13"/>
  <c r="D4" i="13"/>
  <c r="C4" i="13"/>
  <c r="F4" i="13"/>
  <c r="E4" i="9"/>
  <c r="E6" i="9" s="1"/>
  <c r="D4" i="9"/>
  <c r="D6" i="9" s="1"/>
  <c r="D12" i="9" s="1"/>
  <c r="D26" i="9" s="1"/>
  <c r="D28" i="9" s="1"/>
  <c r="H27" i="9" l="1"/>
  <c r="G32" i="7"/>
  <c r="K10" i="10"/>
  <c r="K11" i="10" s="1"/>
  <c r="G5" i="13" s="1"/>
  <c r="H10" i="10"/>
  <c r="H11" i="10" s="1"/>
  <c r="D5" i="13" s="1"/>
  <c r="J10" i="10"/>
  <c r="J11" i="10" s="1"/>
  <c r="F5" i="13" s="1"/>
  <c r="G10" i="10"/>
  <c r="G11" i="10" s="1"/>
  <c r="C5" i="13" s="1"/>
  <c r="I10" i="10"/>
  <c r="I11" i="10" s="1"/>
  <c r="E5" i="13" s="1"/>
  <c r="E30" i="9"/>
  <c r="E31" i="9" s="1"/>
  <c r="E12" i="9"/>
  <c r="E26" i="9" s="1"/>
  <c r="E28" i="9" s="1"/>
  <c r="H30" i="9" l="1"/>
  <c r="H31" i="9" s="1"/>
  <c r="H28" i="9"/>
  <c r="C15" i="10"/>
  <c r="C17" i="10"/>
  <c r="F30" i="9"/>
  <c r="G30" i="9"/>
  <c r="G31" i="9" s="1"/>
  <c r="I27" i="9" l="1"/>
  <c r="H32" i="7"/>
  <c r="H34" i="7" s="1"/>
  <c r="C18" i="10"/>
  <c r="G21" i="10" s="1"/>
  <c r="H40" i="7" l="1"/>
  <c r="H42" i="7" s="1"/>
  <c r="H44" i="7" s="1"/>
  <c r="I28" i="9"/>
  <c r="I30" i="9"/>
  <c r="I31" i="9" s="1"/>
  <c r="C21" i="10"/>
  <c r="C22" i="10" s="1"/>
  <c r="C23" i="10" s="1"/>
  <c r="E15" i="10"/>
  <c r="E17" i="10"/>
  <c r="J27" i="9" l="1"/>
  <c r="I32" i="7"/>
  <c r="I34" i="7" s="1"/>
  <c r="I40" i="7" l="1"/>
  <c r="I42" i="7" s="1"/>
  <c r="I44" i="7" s="1"/>
  <c r="J28" i="9"/>
  <c r="J30" i="9"/>
  <c r="J31" i="9" s="1"/>
  <c r="G34" i="7"/>
  <c r="G40" i="7" l="1"/>
  <c r="G42" i="7" s="1"/>
  <c r="G44" i="7" s="1"/>
  <c r="K27" i="9"/>
  <c r="J32" i="7"/>
  <c r="J34" i="7" s="1"/>
  <c r="J40" i="7" l="1"/>
  <c r="J42" i="7" s="1"/>
  <c r="J44" i="7" s="1"/>
  <c r="K28" i="9"/>
  <c r="K32" i="7" s="1"/>
  <c r="K34" i="7" s="1"/>
  <c r="K30" i="9"/>
  <c r="K31" i="9" s="1"/>
  <c r="K40" i="7" l="1"/>
  <c r="K42" i="7" s="1"/>
  <c r="K44" i="7" s="1"/>
</calcChain>
</file>

<file path=xl/sharedStrings.xml><?xml version="1.0" encoding="utf-8"?>
<sst xmlns="http://schemas.openxmlformats.org/spreadsheetml/2006/main" count="723" uniqueCount="406">
  <si>
    <t>DCF Valuation</t>
  </si>
  <si>
    <t>Sheet index</t>
  </si>
  <si>
    <t xml:space="preserve">#                </t>
  </si>
  <si>
    <t>Worksheet</t>
  </si>
  <si>
    <t>BS assumptions</t>
  </si>
  <si>
    <t>P&amp;L</t>
  </si>
  <si>
    <t>Cash Flow</t>
  </si>
  <si>
    <t>DCF valuation</t>
  </si>
  <si>
    <t>Cash flows</t>
  </si>
  <si>
    <t>Ebitda bridge</t>
  </si>
  <si>
    <t>Working capital</t>
  </si>
  <si>
    <t>DCF results</t>
  </si>
  <si>
    <t>P&amp;L source</t>
  </si>
  <si>
    <t>BS source</t>
  </si>
  <si>
    <t>Scenarios:</t>
  </si>
  <si>
    <t>Case 1:</t>
  </si>
  <si>
    <t>Case 2:</t>
  </si>
  <si>
    <t>Selected case</t>
  </si>
  <si>
    <t>Case 3:</t>
  </si>
  <si>
    <t>Revenues</t>
  </si>
  <si>
    <t>Case 1</t>
  </si>
  <si>
    <t>Case 2</t>
  </si>
  <si>
    <t>Case 3</t>
  </si>
  <si>
    <t>D&amp;A</t>
  </si>
  <si>
    <t>% of EBT</t>
  </si>
  <si>
    <t>PP&amp;E</t>
  </si>
  <si>
    <t>as a % of revenue</t>
  </si>
  <si>
    <t>Other assets</t>
  </si>
  <si>
    <t>Other liabilities</t>
  </si>
  <si>
    <t>Note</t>
  </si>
  <si>
    <t>Gross margin</t>
  </si>
  <si>
    <t>EBITDA</t>
  </si>
  <si>
    <t>EBIT</t>
  </si>
  <si>
    <t>EBT</t>
  </si>
  <si>
    <t>Tax rate</t>
  </si>
  <si>
    <t>Net income</t>
  </si>
  <si>
    <t>Balance Sheet</t>
  </si>
  <si>
    <t>Intangible assets</t>
  </si>
  <si>
    <t>Cash and equivalents</t>
  </si>
  <si>
    <t>Total Assets</t>
  </si>
  <si>
    <t>Shareholders' equity</t>
  </si>
  <si>
    <t>Total Liabilities &amp; Equities</t>
  </si>
  <si>
    <t>Check</t>
  </si>
  <si>
    <t>Trade receivables</t>
  </si>
  <si>
    <t>UFCF</t>
  </si>
  <si>
    <t>WACC</t>
  </si>
  <si>
    <t>g</t>
  </si>
  <si>
    <t>Discount factor</t>
  </si>
  <si>
    <t>Present value of UFCF</t>
  </si>
  <si>
    <t>PV of Cash flows</t>
  </si>
  <si>
    <t>Continuing value</t>
  </si>
  <si>
    <t>PV of Continuing value</t>
  </si>
  <si>
    <t>Enterprise value</t>
  </si>
  <si>
    <t>Cash</t>
  </si>
  <si>
    <t>Equity value</t>
  </si>
  <si>
    <t>Revenues &amp; EBITDA</t>
  </si>
  <si>
    <t>EBITDA%</t>
  </si>
  <si>
    <t>Delta Revenues</t>
  </si>
  <si>
    <t>DSO</t>
  </si>
  <si>
    <t>DIO</t>
  </si>
  <si>
    <t>DPO</t>
  </si>
  <si>
    <t>Scenario 1</t>
  </si>
  <si>
    <t>Scenario 2</t>
  </si>
  <si>
    <t>Scenario 3</t>
  </si>
  <si>
    <t>CFs in Forecast period</t>
  </si>
  <si>
    <t>Continuing Value</t>
  </si>
  <si>
    <t>Revenue</t>
  </si>
  <si>
    <t>Net Income</t>
  </si>
  <si>
    <t>Share Capital</t>
  </si>
  <si>
    <t>Total Equity</t>
  </si>
  <si>
    <t>Total Liabilities</t>
  </si>
  <si>
    <t>Total Liabilities &amp; Equity</t>
  </si>
  <si>
    <t>FY 2029
Forecast</t>
  </si>
  <si>
    <t>FY 2022
Actual</t>
  </si>
  <si>
    <t>FY 2023
Actual</t>
  </si>
  <si>
    <t>FY 2024
Actual</t>
  </si>
  <si>
    <t>FY 2025
Forecast</t>
  </si>
  <si>
    <t>FY 2026
Forecast</t>
  </si>
  <si>
    <t>FY 2027
Forecast</t>
  </si>
  <si>
    <t>FY 2028
Forecast</t>
  </si>
  <si>
    <t>2022
Act</t>
  </si>
  <si>
    <t>2023
Act</t>
  </si>
  <si>
    <t>2024
Act</t>
  </si>
  <si>
    <t>31 Dec 2022
Act</t>
  </si>
  <si>
    <t>31 Dec 2023
Act</t>
  </si>
  <si>
    <t>31 Dec 2024
Act</t>
  </si>
  <si>
    <t>Other income related to sales</t>
  </si>
  <si>
    <t>SAR in millions*</t>
  </si>
  <si>
    <t>*US $1.00 = SAR 3.75</t>
  </si>
  <si>
    <t>Revenue and other income related to sales</t>
  </si>
  <si>
    <t>Royalties and other taxes</t>
  </si>
  <si>
    <t>Purchases</t>
  </si>
  <si>
    <t>Producing and manufacturing</t>
  </si>
  <si>
    <t>Selling, administrative and general (SG&amp;A)</t>
  </si>
  <si>
    <t>Exploration</t>
  </si>
  <si>
    <t>Research and development (R&amp;D)</t>
  </si>
  <si>
    <t>Depreciation and amortization</t>
  </si>
  <si>
    <t>Operating costs</t>
  </si>
  <si>
    <t>Operating income (EBIT)</t>
  </si>
  <si>
    <t>Share of results of joint ventures and associates</t>
  </si>
  <si>
    <t>Finance and other income</t>
  </si>
  <si>
    <t>Finance costs</t>
  </si>
  <si>
    <t>Income before income taxes and zakat (EBT)</t>
  </si>
  <si>
    <t>Income taxes and zakat</t>
  </si>
  <si>
    <t>Non-current assets</t>
  </si>
  <si>
    <t>Current assets</t>
  </si>
  <si>
    <t>Property, plant and equipment (PP&amp;E)</t>
  </si>
  <si>
    <t>Investments in joint ventures and associates</t>
  </si>
  <si>
    <t>Deferred income tax assets</t>
  </si>
  <si>
    <t>Post-employment benefits</t>
  </si>
  <si>
    <t>Other assets and receivables</t>
  </si>
  <si>
    <t>Investments in securities</t>
  </si>
  <si>
    <t>Inventories</t>
  </si>
  <si>
    <t>Due from the Government</t>
  </si>
  <si>
    <t>Short-term investments</t>
  </si>
  <si>
    <t>Cash and cash equivalents</t>
  </si>
  <si>
    <t>Assets classified as held for sale</t>
  </si>
  <si>
    <t>Additional paid-in capital</t>
  </si>
  <si>
    <t>Treasury shares</t>
  </si>
  <si>
    <t>Retained earnings:</t>
  </si>
  <si>
    <t>Unappropriated</t>
  </si>
  <si>
    <t>Appropriated</t>
  </si>
  <si>
    <t>Other reserves</t>
  </si>
  <si>
    <t>Non-controlling interests</t>
  </si>
  <si>
    <t>Borrowings</t>
  </si>
  <si>
    <t>Deferred income tax liabilities</t>
  </si>
  <si>
    <t>Provisions and other liabilities</t>
  </si>
  <si>
    <t>Non-current liabilities</t>
  </si>
  <si>
    <t>Trade payables and other liabilities</t>
  </si>
  <si>
    <t>Obligations to the Government:</t>
  </si>
  <si>
    <t>Royalties</t>
  </si>
  <si>
    <t>Current liabilities</t>
  </si>
  <si>
    <t>Liabilities directly associated with assets classified as held for sale</t>
  </si>
  <si>
    <t>% of revenue</t>
  </si>
  <si>
    <t>Finance Income</t>
  </si>
  <si>
    <t>Finance Costs</t>
  </si>
  <si>
    <t>Forecast Item</t>
  </si>
  <si>
    <t xml:space="preserve">Forecast Item </t>
  </si>
  <si>
    <t>Notes</t>
  </si>
  <si>
    <t>Income taxes and zakat  (% of EBT)</t>
  </si>
  <si>
    <t>Operating Costs</t>
  </si>
  <si>
    <t>Operating Income (EBIT)</t>
  </si>
  <si>
    <t>Trade Receivables</t>
  </si>
  <si>
    <t>Days Sales Outstanding (DSO)</t>
  </si>
  <si>
    <t>Days Inventory Outstanding (DIO)</t>
  </si>
  <si>
    <t>Trade Payables</t>
  </si>
  <si>
    <t>Days Payables Outstanding (DPO)</t>
  </si>
  <si>
    <t>Borrowings (Non-current liabilities) (long-term loans, bonds)</t>
  </si>
  <si>
    <t>Borrowings (Current Liabilities) (short-term debt)</t>
  </si>
  <si>
    <t>Operating Costs, COGS-like (Royalties and other taxes; Purchases; Production and manufacturing)</t>
  </si>
  <si>
    <t>Operating Overhead (SG&amp;A, Exploration, R&amp;D)</t>
  </si>
  <si>
    <t>Finance Income (Share of results of JV and associates; Finance and other income)</t>
  </si>
  <si>
    <t>Revenue growth (YoY, %)</t>
  </si>
  <si>
    <t>Operating Costs (% of revenue)</t>
  </si>
  <si>
    <t>Operating overhead (% of revenue)</t>
  </si>
  <si>
    <t>Depreciation (% of average PP&amp;E)</t>
  </si>
  <si>
    <t>Finance income (% of EBIT)</t>
  </si>
  <si>
    <t>Finance costs (% of average Debt)</t>
  </si>
  <si>
    <t>SG&amp;A, R&amp;D, Exploration average ~5–6% historically; relatively stable with small scenario deltas.</t>
  </si>
  <si>
    <t>7–8% aligns with historical D&amp;A/PP&amp;E trend; slightly higher under pessimistic CapEx assumptions.</t>
  </si>
  <si>
    <t>Saudi Aramco’s effective rate hovers ~49%; slightly higher in downside due to stable zakat/tax obligations.</t>
  </si>
  <si>
    <t>Operating overhead</t>
  </si>
  <si>
    <t>% of average PP&amp;E</t>
  </si>
  <si>
    <t>% of EBIT</t>
  </si>
  <si>
    <t>Borrowings includes:</t>
  </si>
  <si>
    <t>Intangibles &amp; long-term assets in BS Sheet</t>
  </si>
  <si>
    <t>Borrowings in BS sheet includes:</t>
  </si>
  <si>
    <t>Other Liabilities in BS sheet includes:</t>
  </si>
  <si>
    <t>Other assets and receivables (current and non-current)</t>
  </si>
  <si>
    <t>Other assets in BS sheet includes:</t>
  </si>
  <si>
    <t>P&amp;L Assumptions</t>
  </si>
  <si>
    <t>BS Assumptions</t>
  </si>
  <si>
    <t>% of average Borrowings</t>
  </si>
  <si>
    <t>y-o-y growth %</t>
  </si>
  <si>
    <t>PP&amp;E growth (YoY, %)</t>
  </si>
  <si>
    <t>Intangibles &amp; LT assets growth (YoY, %)</t>
  </si>
  <si>
    <t>Inventories DIO (days)</t>
  </si>
  <si>
    <t>Trade Receivables DSO (days)</t>
  </si>
  <si>
    <t>Trade Payables DPO (days)</t>
  </si>
  <si>
    <t>Borrowings growth  (YoY, %)</t>
  </si>
  <si>
    <t>Other assets (as a % of revenue)</t>
  </si>
  <si>
    <t>Operating Costs (as a % of revenue)</t>
  </si>
  <si>
    <t>Operating overhead (as a % of revenue)</t>
  </si>
  <si>
    <t>Depreciation (as a % of average PP&amp;E)</t>
  </si>
  <si>
    <t>Finance income (as a % of EBIT)</t>
  </si>
  <si>
    <t>Finance costs (as a % of average Borrowings)</t>
  </si>
  <si>
    <t>Income taxes and zakat  (as a % of EBT)</t>
  </si>
  <si>
    <t>Other liabilities growth (YoY, %)</t>
  </si>
  <si>
    <t>Intangibles &amp; LT assets</t>
  </si>
  <si>
    <t>PP&amp;E grows with CapEx reinvestment; higher growth in expansion scenarios.</t>
  </si>
  <si>
    <t>Group includes intangible, JV, and long-term holdings; steady modest growth.</t>
  </si>
  <si>
    <t>Inventories modeled using DIO; faster turnover in upside scenario.</t>
  </si>
  <si>
    <t>Receivables modeled using DSO; slower collection in downside scenario.</t>
  </si>
  <si>
    <t>Payables based on DPO; higher leverage in optimistic case.</t>
  </si>
  <si>
    <t>Borrowings expand more in growth; less in downside.</t>
  </si>
  <si>
    <t>Other liabilities include deferred tax liabilities, pension/post-employment liabilities, and long-term provisions. Recent growth of ~11% in 2023 and ~7% in 2024 informs the scenario-based range (5% to 9%) depending on reinvestment intensity and labor/asset base expansion.</t>
  </si>
  <si>
    <t xml:space="preserve">Royalties, income taxes and zakat </t>
  </si>
  <si>
    <t>Royalties, income taxes and zakat</t>
  </si>
  <si>
    <t>Royalties, income taxes and zakat in BS Assumptions includes:</t>
  </si>
  <si>
    <t>Income before income taxes and zakat</t>
  </si>
  <si>
    <t>Adjustments to reconcile income before income taxes and zakat to net cash provided by operating activities</t>
  </si>
  <si>
    <t>Exploration and evaluation costs written off</t>
  </si>
  <si>
    <t>Loss on disposal of PP&amp;E</t>
  </si>
  <si>
    <t>Loss on fair value measurement of assets classified as held for sale</t>
  </si>
  <si>
    <t>Inventory movement</t>
  </si>
  <si>
    <t>Share of results of JV and associates</t>
  </si>
  <si>
    <t>Change in fair value of investments through profit or loss</t>
  </si>
  <si>
    <t>Change in JV and associates inventory profit elimination</t>
  </si>
  <si>
    <t>Other</t>
  </si>
  <si>
    <t>Change in working capital</t>
  </si>
  <si>
    <t>Trade Payables and other liabilities</t>
  </si>
  <si>
    <t>Royalties payable</t>
  </si>
  <si>
    <t>Other changes</t>
  </si>
  <si>
    <t>Settlement of income, zakat and other taxes</t>
  </si>
  <si>
    <t>Capital expenditures (CapEx)</t>
  </si>
  <si>
    <t>Acquisition of affiliates, net of cash acquired</t>
  </si>
  <si>
    <t>Additional investments in JV and associates</t>
  </si>
  <si>
    <t>Proceeds from sale of equity interest in an associate</t>
  </si>
  <si>
    <t>Distributions from JV and associates</t>
  </si>
  <si>
    <t>Dividends from investments in securities</t>
  </si>
  <si>
    <t>Interest received</t>
  </si>
  <si>
    <t>Investments in securities -net</t>
  </si>
  <si>
    <t>Net maturities (purchases) of short-term investments</t>
  </si>
  <si>
    <t>Dividends paid to shareholders of the Company</t>
  </si>
  <si>
    <t>Dividends paid to non-controlling interests in subsidiaries</t>
  </si>
  <si>
    <t>Proceeds from sale of non-controlling equity interest in a subsidiary</t>
  </si>
  <si>
    <t>Acquisition of non-controlling interests in certain subsidiaries</t>
  </si>
  <si>
    <t>Proceeds from issue of treasury shares</t>
  </si>
  <si>
    <t>Proceeds from borrowings</t>
  </si>
  <si>
    <t>Repayments of borrowings</t>
  </si>
  <si>
    <t>Principal portion of lease payments</t>
  </si>
  <si>
    <t>Interest paid</t>
  </si>
  <si>
    <t>Net decrease in cash and cash equivalents</t>
  </si>
  <si>
    <t>Cash and cash equivalents at beginning of the year</t>
  </si>
  <si>
    <t>Cash and cash equivalents at end of the year</t>
  </si>
  <si>
    <t>1) Sources --&gt;</t>
  </si>
  <si>
    <t>2) 3 Statement Model --&gt;</t>
  </si>
  <si>
    <t>3) DCF Model --&gt;</t>
  </si>
  <si>
    <t>CF source</t>
  </si>
  <si>
    <t>Net cash provided by operating activities (CFO)</t>
  </si>
  <si>
    <t>Net cash used in investing activities (CFI)</t>
  </si>
  <si>
    <t>Net cash used in financing activities (CFF)</t>
  </si>
  <si>
    <t>(+) Income taxes and zakat</t>
  </si>
  <si>
    <t>Change in Working Capital</t>
  </si>
  <si>
    <t>Other Adjustments (net)</t>
  </si>
  <si>
    <t>Cash Flow from Operating Activities (CFO):</t>
  </si>
  <si>
    <t>Cash Flow from Investing Activities (CFI):</t>
  </si>
  <si>
    <t>CapEx</t>
  </si>
  <si>
    <t>Other investing items</t>
  </si>
  <si>
    <t>Cash Flow from Financing Activities (CFF):</t>
  </si>
  <si>
    <t>Borrowings (net)</t>
  </si>
  <si>
    <t>Dividends Paid</t>
  </si>
  <si>
    <t>Interest Paid</t>
  </si>
  <si>
    <t>Lease repayments</t>
  </si>
  <si>
    <t>Net Cash Flow (CFO+CFI+CFF)</t>
  </si>
  <si>
    <t>Closing Cash</t>
  </si>
  <si>
    <t>Opening Cash</t>
  </si>
  <si>
    <t>Change_in_Working_Capital_t = (Receivables_t – Receivables_t-1) +(Inventories_t – Inventories_t-1) +(OtherAssets_t – OtherAssets_t-1) - (Payables_t – Payables_t-1)</t>
  </si>
  <si>
    <t>CF assumptions</t>
  </si>
  <si>
    <t>Capital Expenditure (CapEx)</t>
  </si>
  <si>
    <t>The forecast assumes that CapEx will scale with operational performance — increasing in growth scenarios and tightening under weaker macroeconomic or market conditions.</t>
  </si>
  <si>
    <t>CF Assumptions</t>
  </si>
  <si>
    <t>CapEx (as a % of revenue)</t>
  </si>
  <si>
    <t>current year's Borrowings - previous year's Borrowings</t>
  </si>
  <si>
    <t>as a % of Net Income</t>
  </si>
  <si>
    <t>Hard to forecast, hence omitted</t>
  </si>
  <si>
    <t>Dividends Paid are modeled as a percentage of Net Income. Based on Aramco’s historical behavior, the model assumes elevated payout ratios across all scenarios, reflecting the company’s strategic commitment to shareholder (state) returns even under earnings pressure.</t>
  </si>
  <si>
    <t>Other Investing Items” includes all non-CapEx investing cash flows such as JV dividends, interest received, and securities investments. Due to high historical volatility, it is modeled as a conservative flat outflow by scenario to avoid overstating inorganic cash inflows</t>
  </si>
  <si>
    <t>Decreasing amount</t>
  </si>
  <si>
    <t>Lease Payments</t>
  </si>
  <si>
    <t>Flat amount constant over the years</t>
  </si>
  <si>
    <t>Lease Payments (flat amount over the years)</t>
  </si>
  <si>
    <t>Dividends Paid (% of Net Income)</t>
  </si>
  <si>
    <t>Other investing items (amount changing every year)</t>
  </si>
  <si>
    <t>In the absence of a detailed lease schedule, the model applies a scenario-driven annual amount for forecast years.</t>
  </si>
  <si>
    <t>Opening Cash_t+1 – Closing Cash_t</t>
  </si>
  <si>
    <t>Check row verifies year-over-year continuity in cash by comparing Opening Cash_t+1 against Closing Cash_t. A value of 0 confirms cash flow logic is sound.</t>
  </si>
  <si>
    <t>UFCF Calculation:</t>
  </si>
  <si>
    <t>Unlevered Free Cash Flow = the cash the business generates before debt payments (cash available to both debt and equity holders)</t>
  </si>
  <si>
    <t>Tax Rate</t>
  </si>
  <si>
    <t>EBIT*(1-Tax Rate)</t>
  </si>
  <si>
    <t>(+) D&amp;A</t>
  </si>
  <si>
    <t>(-) CapEx</t>
  </si>
  <si>
    <t>(-) Change in WC</t>
  </si>
  <si>
    <t>SAR</t>
  </si>
  <si>
    <t>Base</t>
  </si>
  <si>
    <t>Optimistic</t>
  </si>
  <si>
    <t>Conservative</t>
  </si>
  <si>
    <t>5% for optimistic due to oil price recovery or higher volumes; -2% in conservative case due to global slowdown or quota cuts.</t>
  </si>
  <si>
    <t>Finance income &amp; JV results averaged ~3–4% of EBIT; reduced in conservative case due to JV underperformance.</t>
  </si>
  <si>
    <t>Payables decrease due to strong settlement discipline in the optimistic case. In the conservative case, decline moderates as the company conserves cash and allows liabilities to linger longer.</t>
  </si>
  <si>
    <t>Based on recent ratios of Royalties, Purchases, P&amp;M totaling ~34–38%; conservative case assumes less cost control.</t>
  </si>
  <si>
    <t>Finance cost as % of debt driven by effective interest rate; higher in the conservative case due to refinancing risk.</t>
  </si>
  <si>
    <t>Other assets include prepayments, long-term receivables, deferred items and short-term investments. Based on 2023–2024 they dropped sharply from ~17% to ~7.8% of revenue between 2022 and 2024. The forecast assumes this was part of a structural change in treasury and WC management. Optimistic case allows for higher retained asset liquidity; conservative case assumes drawdowns or reallocation."</t>
  </si>
  <si>
    <t>P&amp;L, BS and CF assumptions</t>
  </si>
  <si>
    <t>USD</t>
  </si>
  <si>
    <t>(-) Financial liabilities</t>
  </si>
  <si>
    <t>EBITDA FY24</t>
  </si>
  <si>
    <t>EBITDA FY25</t>
  </si>
  <si>
    <t>Delta Operating costs</t>
  </si>
  <si>
    <t>Delta Operating overhead</t>
  </si>
  <si>
    <t>Enterprise Value (SAR)</t>
  </si>
  <si>
    <t>Enterprise Value (USD)</t>
  </si>
  <si>
    <t>US $1.00 = SAR 3.75</t>
  </si>
  <si>
    <t>2) 3 Statement model --&gt;</t>
  </si>
  <si>
    <t>Assumptions</t>
  </si>
  <si>
    <t>P&amp;L and BS</t>
  </si>
  <si>
    <t>Revenues&amp;Ebitda</t>
  </si>
  <si>
    <t>5) Charts --&gt;</t>
  </si>
  <si>
    <t>4) Comps Model --&gt;</t>
  </si>
  <si>
    <t>Comparable Companies Analysis</t>
  </si>
  <si>
    <t>Ticker</t>
  </si>
  <si>
    <t>Comps Model</t>
  </si>
  <si>
    <t>Valuation</t>
  </si>
  <si>
    <t>WACC = % of equity x cost of equity + % of debt x cost of debt x (1 - Tax Rate)</t>
  </si>
  <si>
    <t>Cost of equity = Risk free rate + Beta x Market Risk Premium</t>
  </si>
  <si>
    <t>% of Equity</t>
  </si>
  <si>
    <t>Cost of Equity</t>
  </si>
  <si>
    <t>Risk Free Rate</t>
  </si>
  <si>
    <t>Beta</t>
  </si>
  <si>
    <t>Market Risk Premium</t>
  </si>
  <si>
    <t>% of Debt</t>
  </si>
  <si>
    <t>Cost of Debt</t>
  </si>
  <si>
    <t>Total</t>
  </si>
  <si>
    <t>Company</t>
  </si>
  <si>
    <t>Shares Outstanding</t>
  </si>
  <si>
    <t>Net Debt</t>
  </si>
  <si>
    <t>EV/Revenue</t>
  </si>
  <si>
    <t>EV/EBITDA</t>
  </si>
  <si>
    <t>P/E</t>
  </si>
  <si>
    <t>High</t>
  </si>
  <si>
    <t>75th Percentile</t>
  </si>
  <si>
    <t>Average</t>
  </si>
  <si>
    <t>Median</t>
  </si>
  <si>
    <t>25th Percentile</t>
  </si>
  <si>
    <t>Low</t>
  </si>
  <si>
    <t>Implied Enterprise Value</t>
  </si>
  <si>
    <t>Implied Market Value</t>
  </si>
  <si>
    <t>Implied Value Per Share</t>
  </si>
  <si>
    <t>Saudi Aramco Valuation</t>
  </si>
  <si>
    <t>Rationale behind the choice of companies</t>
  </si>
  <si>
    <t>Criteria</t>
  </si>
  <si>
    <t>Reason</t>
  </si>
  <si>
    <t>Industry = Integrated Oil &amp; Gas</t>
  </si>
  <si>
    <t>Same business model (upstream + downstream)</t>
  </si>
  <si>
    <t>Saudi Aramco is $2T+ — size matters</t>
  </si>
  <si>
    <t>Geography = Global (not just MENA)</t>
  </si>
  <si>
    <t>Market pricing consistency</t>
  </si>
  <si>
    <t>XOM</t>
  </si>
  <si>
    <t>ExxonMobil (US)</t>
  </si>
  <si>
    <t>CVX</t>
  </si>
  <si>
    <t>Chevron (US)</t>
  </si>
  <si>
    <t>Shell (UK/NL)</t>
  </si>
  <si>
    <t>SHEL</t>
  </si>
  <si>
    <t>BP (UK)</t>
  </si>
  <si>
    <t>BP</t>
  </si>
  <si>
    <t>TotalEnergies (France)</t>
  </si>
  <si>
    <t>TTE</t>
  </si>
  <si>
    <t>PBR</t>
  </si>
  <si>
    <t>CNPC/PetroChina (China)</t>
  </si>
  <si>
    <t>PTR</t>
  </si>
  <si>
    <t>ENI (Italy)</t>
  </si>
  <si>
    <t>ENI</t>
  </si>
  <si>
    <t>Saudi Aramco (KSA)</t>
  </si>
  <si>
    <t>Date:21.06.2025</t>
  </si>
  <si>
    <t>Sources:</t>
  </si>
  <si>
    <t>Yahoo Finance</t>
  </si>
  <si>
    <t xml:space="preserve">Annual Company Reports </t>
  </si>
  <si>
    <t>Market Data (on 21.06.2025)</t>
  </si>
  <si>
    <t>Financials (FY2024) in USD millions</t>
  </si>
  <si>
    <t>Equity Value (millions USD)</t>
  </si>
  <si>
    <t>Share 
Price ($)</t>
  </si>
  <si>
    <t>Net Debt (millions USD)</t>
  </si>
  <si>
    <t>Shares Outstanding         (in millions)</t>
  </si>
  <si>
    <t>Enterprise
Value    (millions USD)</t>
  </si>
  <si>
    <t>companiesmarketcap.com</t>
  </si>
  <si>
    <t>US $1.00 =  7,3 CNY (RMB)</t>
  </si>
  <si>
    <t>NOTE: ALL items will be converted to USD for simplification (concerns: Saudi Aramco, and PetroChina)</t>
  </si>
  <si>
    <t>Interpretation:</t>
  </si>
  <si>
    <t>From the "Comps Model" sheet</t>
  </si>
  <si>
    <t>Net debt from "Comps Model" sheet</t>
  </si>
  <si>
    <t>WACC for Saudi Aramco</t>
  </si>
  <si>
    <t>Debt (millions USD)</t>
  </si>
  <si>
    <t>Market Cap (millions USD)</t>
  </si>
  <si>
    <t>From "P&amp;L and BS" sheet</t>
  </si>
  <si>
    <t>Standard MRP for mature markets</t>
  </si>
  <si>
    <t>US 10Y Treasury (https://www.cnbc.com/quotes/US10Y)</t>
  </si>
  <si>
    <t>Market Cap / (Market Cap + Debt)</t>
  </si>
  <si>
    <t>CAPM formula</t>
  </si>
  <si>
    <t>Calculation from "WACC" sheet</t>
  </si>
  <si>
    <t>YahooFinance page of Saudi Aramco</t>
  </si>
  <si>
    <t>Aramco raises debt cheaply — sovereign-grade bonds</t>
  </si>
  <si>
    <t>2222.SR</t>
  </si>
  <si>
    <t>per share</t>
  </si>
  <si>
    <t>Changes based on Case scenario (range from 1,5% to 0,5%)</t>
  </si>
  <si>
    <t>Terminal growth (g) assumption</t>
  </si>
  <si>
    <t>Terminal growth rate (g)</t>
  </si>
  <si>
    <t>Terminal growth rate Assumptions</t>
  </si>
  <si>
    <t>Cash is inserted from the Closing Cash in "Cash Flow" sheet</t>
  </si>
  <si>
    <t>Inserted as a plug to balance the balance sheet (Formula: Shareholders' Equity = Prior Year + Net Income - Dividends; was not used due to misalignment in balance)</t>
  </si>
  <si>
    <t>Petrobras (Brazil)</t>
  </si>
  <si>
    <t>Size  &gt;$100B+ Market Cap</t>
  </si>
  <si>
    <t>The EBITDA Bridge (also called a “walk” or “waterfall”) is used to explain the movement in EBITDA between two periods (here, FY2024 to FY2025) by breaking it into key operational drivers</t>
  </si>
  <si>
    <t>We’re explaining how EBITDA changes year over year by showing how each component (revenue, cost, opex) contributes to the growth or decline.</t>
  </si>
  <si>
    <t>Equity Value (USD)</t>
  </si>
  <si>
    <t>Aramco is fairly valued, possibly with a slight market premium ($6,26 vs. $6,62), which is normal for: strategic assets; government backing; low-cost production base; and stable dividend payouts. It’s expected that Aramco trades slightly richer than average multiples due to: strategic oil reserves; OPEC influence; high-margin integrated operations; government ownership that controls float and volatility.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</si>
</sst>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_(* #,##0.0_);_(* \(#,##0.0\);_(* &quot;-&quot;?_);@_)"/>
    <numFmt numFmtId="165" formatCode="_(* #,##0_);_(* \(#,##0\);_(* &quot;-&quot;?_);@_)"/>
    <numFmt numFmtId="166" formatCode="0.0%"/>
    <numFmt numFmtId="167" formatCode="_(* #,##0_);_(* \(#,##0\);_(* &quot;-&quot;??_);_(@_)"/>
    <numFmt numFmtId="168" formatCode="_(* #,##0.0_);_(* \(#,##0.0\);_(* &quot;-&quot;?_);@_l"/>
    <numFmt numFmtId="169" formatCode="_(* #,##0_);_(* \(#,##0\);_(* &quot;-&quot;?_);@_l"/>
    <numFmt numFmtId="170" formatCode="_(* #,##0.00_);_(* \(#,##0.00\);_(* &quot;-&quot;??_);_(@_)"/>
    <numFmt numFmtId="171" formatCode="_(* #,##0.0_);_(* \(#,##0.0\);_(* &quot;-&quot;??_);_(@_)"/>
    <numFmt numFmtId="172" formatCode="0.0"/>
    <numFmt numFmtId="173" formatCode="_(* #,##0.00_);_(* \(#,##0.00\);_(* &quot;-&quot;?_);@_)"/>
    <numFmt numFmtId="174" formatCode="_(* #,##0.000_);_(* \(#,##0.000\);_(* &quot;-&quot;?_);@_)"/>
    <numFmt numFmtId="175" formatCode="_-* #,##0_-;\-* #,##0_-;_-* &quot;-&quot;??_-;_-@_-"/>
    <numFmt numFmtId="176" formatCode="#,##0.0\x"/>
    <numFmt numFmtId="177" formatCode="_-* #,##0.00\ _€_-;\-* #,##0.00\ _€_-;_-* &quot;-&quot;??\ _€_-;_-@_-"/>
    <numFmt numFmtId="178" formatCode="#,##0.00\x"/>
    <numFmt numFmtId="179" formatCode="_-* #,##0.0\ _€_-;\-* #,##0.0\ _€_-;_-* &quot;-&quot;?\ _€_-;_-@_-"/>
  </numFmts>
  <fonts count="48" x14ac:knownFonts="1">
    <font>
      <sz val="11"/>
      <color theme="1"/>
      <name val="Calibri"/>
      <family val="2"/>
      <scheme val="minor"/>
    </font>
    <font>
      <sz val="11"/>
      <color theme="1"/>
      <name val="Calibri"/>
      <family val="2"/>
      <scheme val="minor"/>
    </font>
    <font>
      <b/>
      <sz val="12"/>
      <color rgb="FF002060"/>
      <name val="Arial"/>
      <family val="2"/>
    </font>
    <font>
      <sz val="9"/>
      <color theme="1"/>
      <name val="Arial"/>
      <family val="2"/>
    </font>
    <font>
      <b/>
      <sz val="9"/>
      <color rgb="FF002060"/>
      <name val="Arial"/>
      <family val="2"/>
    </font>
    <font>
      <b/>
      <sz val="9"/>
      <color theme="3"/>
      <name val="Calibri"/>
      <family val="2"/>
      <scheme val="minor"/>
    </font>
    <font>
      <b/>
      <sz val="8"/>
      <color theme="0"/>
      <name val="Arial"/>
      <family val="2"/>
    </font>
    <font>
      <b/>
      <sz val="9"/>
      <color theme="0"/>
      <name val="Arial"/>
      <family val="2"/>
    </font>
    <font>
      <sz val="8"/>
      <color theme="1"/>
      <name val="Arial"/>
      <family val="2"/>
    </font>
    <font>
      <u/>
      <sz val="11"/>
      <color theme="10"/>
      <name val="Calibri"/>
      <family val="2"/>
      <scheme val="minor"/>
    </font>
    <font>
      <sz val="9"/>
      <color rgb="FF002060"/>
      <name val="Arial"/>
      <family val="2"/>
    </font>
    <font>
      <b/>
      <sz val="32"/>
      <color rgb="FF002060"/>
      <name val="Arial"/>
      <family val="2"/>
    </font>
    <font>
      <i/>
      <sz val="8"/>
      <color theme="1"/>
      <name val="Arial"/>
      <family val="2"/>
    </font>
    <font>
      <b/>
      <sz val="9"/>
      <color theme="1"/>
      <name val="Arial"/>
      <family val="2"/>
      <charset val="204"/>
    </font>
    <font>
      <sz val="9"/>
      <name val="Arial"/>
      <family val="2"/>
    </font>
    <font>
      <sz val="9"/>
      <name val="Arial"/>
      <family val="2"/>
      <charset val="204"/>
    </font>
    <font>
      <sz val="8"/>
      <name val="Arial"/>
      <family val="2"/>
    </font>
    <font>
      <b/>
      <sz val="9"/>
      <color theme="0"/>
      <name val="Arial"/>
      <family val="2"/>
      <charset val="204"/>
    </font>
    <font>
      <sz val="9"/>
      <color theme="0"/>
      <name val="Arial"/>
      <family val="2"/>
    </font>
    <font>
      <b/>
      <sz val="9"/>
      <color theme="1"/>
      <name val="Arial"/>
      <family val="2"/>
    </font>
    <font>
      <b/>
      <sz val="9"/>
      <color theme="9"/>
      <name val="Arial"/>
      <family val="2"/>
    </font>
    <font>
      <b/>
      <sz val="9"/>
      <color theme="7"/>
      <name val="Arial"/>
      <family val="2"/>
    </font>
    <font>
      <b/>
      <sz val="9"/>
      <color theme="5"/>
      <name val="Arial"/>
      <family val="2"/>
    </font>
    <font>
      <b/>
      <sz val="9"/>
      <name val="Arial"/>
      <family val="2"/>
    </font>
    <font>
      <i/>
      <sz val="9"/>
      <color theme="1"/>
      <name val="Arial"/>
      <family val="2"/>
    </font>
    <font>
      <b/>
      <sz val="9"/>
      <color rgb="FF002060"/>
      <name val="Arial"/>
      <family val="2"/>
      <charset val="204"/>
    </font>
    <font>
      <sz val="9"/>
      <color rgb="FF000000"/>
      <name val="Arial"/>
      <family val="2"/>
    </font>
    <font>
      <b/>
      <sz val="8"/>
      <color theme="1"/>
      <name val="Arial"/>
      <family val="2"/>
    </font>
    <font>
      <sz val="8"/>
      <color rgb="FF002060"/>
      <name val="Arial"/>
      <family val="2"/>
    </font>
    <font>
      <b/>
      <sz val="20"/>
      <color rgb="FF293D68"/>
      <name val="Calibri"/>
      <family val="2"/>
      <scheme val="minor"/>
    </font>
    <font>
      <b/>
      <sz val="12"/>
      <color indexed="9"/>
      <name val="Calibri"/>
      <family val="2"/>
      <scheme val="minor"/>
    </font>
    <font>
      <sz val="10"/>
      <name val="Arial"/>
      <family val="2"/>
    </font>
    <font>
      <b/>
      <sz val="12"/>
      <color theme="0"/>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sz val="11"/>
      <color theme="0"/>
      <name val="Calibri"/>
      <family val="2"/>
      <scheme val="minor"/>
    </font>
    <font>
      <sz val="12"/>
      <color rgb="FF0432FF"/>
      <name val="Calibri"/>
      <family val="2"/>
      <scheme val="minor"/>
    </font>
    <font>
      <b/>
      <sz val="12"/>
      <color rgb="FF0432FF"/>
      <name val="Calibri"/>
      <family val="2"/>
      <scheme val="minor"/>
    </font>
    <font>
      <b/>
      <sz val="12"/>
      <color rgb="FF002060"/>
      <name val="Calibri (Body)"/>
    </font>
    <font>
      <b/>
      <sz val="12"/>
      <color rgb="FF002060"/>
      <name val="Calibri"/>
      <family val="2"/>
      <scheme val="minor"/>
    </font>
    <font>
      <sz val="12"/>
      <color rgb="FF002060"/>
      <name val="Calibri"/>
      <family val="2"/>
      <scheme val="minor"/>
    </font>
    <font>
      <b/>
      <sz val="20"/>
      <color rgb="FF002060"/>
      <name val="Calibri"/>
      <family val="2"/>
      <scheme val="minor"/>
    </font>
    <font>
      <b/>
      <i/>
      <sz val="9"/>
      <color rgb="FF002060"/>
      <name val="Arial"/>
      <family val="2"/>
    </font>
    <font>
      <i/>
      <sz val="12"/>
      <color theme="0"/>
      <name val="Calibri"/>
      <family val="2"/>
      <scheme val="minor"/>
    </font>
    <font>
      <i/>
      <sz val="14"/>
      <color theme="1"/>
      <name val="Calibri"/>
      <family val="2"/>
      <scheme val="minor"/>
    </font>
    <font>
      <b/>
      <sz val="11"/>
      <color theme="1"/>
      <name val="Calibri"/>
      <family val="2"/>
      <scheme val="minor"/>
    </font>
    <font>
      <b/>
      <i/>
      <sz val="9"/>
      <color theme="1"/>
      <name val="Arial"/>
      <family val="2"/>
    </font>
  </fonts>
  <fills count="9">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0" tint="-0.14999847407452621"/>
        <bgColor indexed="64"/>
      </patternFill>
    </fill>
    <fill>
      <patternFill patternType="lightGray">
        <bgColor theme="0"/>
      </patternFill>
    </fill>
    <fill>
      <patternFill patternType="solid">
        <fgColor theme="4" tint="0.79998168889431442"/>
        <bgColor indexed="64"/>
      </patternFill>
    </fill>
    <fill>
      <patternFill patternType="solid">
        <fgColor rgb="FF2A3E68"/>
        <bgColor indexed="64"/>
      </patternFill>
    </fill>
    <fill>
      <patternFill patternType="solid">
        <fgColor rgb="FFFFFF99"/>
        <bgColor indexed="64"/>
      </patternFill>
    </fill>
  </fills>
  <borders count="22">
    <border>
      <left/>
      <right/>
      <top/>
      <bottom/>
      <diagonal/>
    </border>
    <border>
      <left/>
      <right/>
      <top/>
      <bottom style="medium">
        <color theme="4"/>
      </bottom>
      <diagonal/>
    </border>
    <border>
      <left/>
      <right/>
      <top/>
      <bottom style="medium">
        <color rgb="FF002060"/>
      </bottom>
      <diagonal/>
    </border>
    <border>
      <left/>
      <right/>
      <top style="thin">
        <color indexed="64"/>
      </top>
      <bottom/>
      <diagonal/>
    </border>
    <border>
      <left/>
      <right/>
      <top style="thin">
        <color rgb="FF002060"/>
      </top>
      <bottom style="medium">
        <color rgb="FF002060"/>
      </bottom>
      <diagonal/>
    </border>
    <border>
      <left/>
      <right/>
      <top/>
      <bottom style="thin">
        <color indexed="64"/>
      </bottom>
      <diagonal/>
    </border>
    <border>
      <left/>
      <right style="thin">
        <color indexed="64"/>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theme="1"/>
      </top>
      <bottom style="thin">
        <color theme="1"/>
      </bottom>
      <diagonal/>
    </border>
    <border>
      <left/>
      <right/>
      <top style="thin">
        <color theme="1"/>
      </top>
      <bottom/>
      <diagonal/>
    </border>
    <border>
      <left/>
      <right/>
      <top/>
      <bottom style="thin">
        <color theme="1"/>
      </bottom>
      <diagonal/>
    </border>
    <border>
      <left style="thin">
        <color indexed="64"/>
      </left>
      <right style="thin">
        <color indexed="64"/>
      </right>
      <top/>
      <bottom style="thin">
        <color indexed="64"/>
      </bottom>
      <diagonal/>
    </border>
  </borders>
  <cellStyleXfs count="8">
    <xf numFmtId="0" fontId="0" fillId="0" borderId="0"/>
    <xf numFmtId="0" fontId="9" fillId="0" borderId="0" applyNumberFormat="0" applyFill="0" applyBorder="0" applyAlignment="0" applyProtection="0"/>
    <xf numFmtId="0" fontId="5" fillId="0" borderId="1" applyFill="0" applyProtection="0">
      <alignment horizontal="right" wrapText="1"/>
    </xf>
    <xf numFmtId="9" fontId="1" fillId="0" borderId="0" applyFont="0" applyFill="0" applyBorder="0" applyAlignment="0" applyProtection="0"/>
    <xf numFmtId="170" fontId="1" fillId="0" borderId="0" applyFont="0" applyFill="0" applyBorder="0" applyAlignment="0" applyProtection="0"/>
    <xf numFmtId="0" fontId="1" fillId="0" borderId="0"/>
    <xf numFmtId="0" fontId="31" fillId="0" borderId="0"/>
    <xf numFmtId="0" fontId="1" fillId="0" borderId="0"/>
  </cellStyleXfs>
  <cellXfs count="287">
    <xf numFmtId="0" fontId="0" fillId="0" borderId="0" xfId="0"/>
    <xf numFmtId="0" fontId="2" fillId="2" borderId="0" xfId="0" applyFont="1" applyFill="1"/>
    <xf numFmtId="0" fontId="3" fillId="2" borderId="0" xfId="0" applyFont="1" applyFill="1"/>
    <xf numFmtId="0" fontId="4" fillId="2" borderId="0" xfId="0" applyFont="1" applyFill="1"/>
    <xf numFmtId="0" fontId="5" fillId="2" borderId="1" xfId="2" applyFill="1" applyAlignment="1">
      <alignment horizontal="left" wrapText="1"/>
    </xf>
    <xf numFmtId="0" fontId="6" fillId="3" borderId="0" xfId="0" applyFont="1" applyFill="1" applyAlignment="1">
      <alignment horizontal="left"/>
    </xf>
    <xf numFmtId="0" fontId="7" fillId="3" borderId="0" xfId="0" applyFont="1" applyFill="1"/>
    <xf numFmtId="0" fontId="8" fillId="2" borderId="0" xfId="0" applyFont="1" applyFill="1" applyAlignment="1">
      <alignment horizontal="left"/>
    </xf>
    <xf numFmtId="0" fontId="10" fillId="2" borderId="0" xfId="1" applyFont="1" applyFill="1"/>
    <xf numFmtId="0" fontId="11" fillId="2" borderId="0" xfId="0" applyFont="1" applyFill="1"/>
    <xf numFmtId="164" fontId="2" fillId="2" borderId="0" xfId="0" applyNumberFormat="1" applyFont="1" applyFill="1"/>
    <xf numFmtId="164" fontId="3" fillId="2" borderId="0" xfId="0" applyNumberFormat="1" applyFont="1" applyFill="1"/>
    <xf numFmtId="164" fontId="4" fillId="2" borderId="2" xfId="0" applyNumberFormat="1" applyFont="1" applyFill="1" applyBorder="1"/>
    <xf numFmtId="164" fontId="4" fillId="2" borderId="2" xfId="0" applyNumberFormat="1" applyFont="1" applyFill="1" applyBorder="1" applyAlignment="1">
      <alignment horizontal="right" wrapText="1"/>
    </xf>
    <xf numFmtId="164" fontId="4" fillId="2" borderId="0" xfId="0" applyNumberFormat="1" applyFont="1" applyFill="1" applyAlignment="1">
      <alignment horizontal="right" wrapText="1"/>
    </xf>
    <xf numFmtId="164" fontId="4" fillId="4" borderId="2" xfId="0" applyNumberFormat="1" applyFont="1" applyFill="1" applyBorder="1" applyAlignment="1">
      <alignment horizontal="right" wrapText="1"/>
    </xf>
    <xf numFmtId="165" fontId="3" fillId="2" borderId="0" xfId="0" applyNumberFormat="1" applyFont="1" applyFill="1"/>
    <xf numFmtId="165" fontId="3" fillId="4" borderId="0" xfId="0" applyNumberFormat="1" applyFont="1" applyFill="1"/>
    <xf numFmtId="166" fontId="3" fillId="2" borderId="0" xfId="3" applyNumberFormat="1" applyFont="1" applyFill="1"/>
    <xf numFmtId="9" fontId="3" fillId="4" borderId="0" xfId="3" applyFont="1" applyFill="1"/>
    <xf numFmtId="164" fontId="3" fillId="5" borderId="0" xfId="0" applyNumberFormat="1" applyFont="1" applyFill="1"/>
    <xf numFmtId="9" fontId="3" fillId="2" borderId="0" xfId="3" applyFont="1" applyFill="1"/>
    <xf numFmtId="164" fontId="12" fillId="2" borderId="0" xfId="0" applyNumberFormat="1" applyFont="1" applyFill="1"/>
    <xf numFmtId="164" fontId="3" fillId="4" borderId="0" xfId="0" applyNumberFormat="1" applyFont="1" applyFill="1"/>
    <xf numFmtId="166" fontId="12" fillId="2" borderId="0" xfId="3" applyNumberFormat="1" applyFont="1" applyFill="1"/>
    <xf numFmtId="164" fontId="4" fillId="2" borderId="2" xfId="0" applyNumberFormat="1" applyFont="1" applyFill="1" applyBorder="1" applyAlignment="1">
      <alignment wrapText="1"/>
    </xf>
    <xf numFmtId="164" fontId="4" fillId="2" borderId="3" xfId="0" applyNumberFormat="1" applyFont="1" applyFill="1" applyBorder="1"/>
    <xf numFmtId="165" fontId="4" fillId="2" borderId="3" xfId="0" applyNumberFormat="1" applyFont="1" applyFill="1" applyBorder="1"/>
    <xf numFmtId="164" fontId="4" fillId="2" borderId="0" xfId="0" applyNumberFormat="1" applyFont="1" applyFill="1"/>
    <xf numFmtId="165" fontId="10" fillId="2" borderId="0" xfId="0" applyNumberFormat="1" applyFont="1" applyFill="1"/>
    <xf numFmtId="164" fontId="7" fillId="3" borderId="0" xfId="0" applyNumberFormat="1" applyFont="1" applyFill="1"/>
    <xf numFmtId="165" fontId="7" fillId="3" borderId="0" xfId="0" applyNumberFormat="1" applyFont="1" applyFill="1"/>
    <xf numFmtId="164" fontId="4" fillId="2" borderId="4" xfId="0" applyNumberFormat="1" applyFont="1" applyFill="1" applyBorder="1"/>
    <xf numFmtId="165" fontId="4" fillId="2" borderId="4" xfId="0" applyNumberFormat="1" applyFont="1" applyFill="1" applyBorder="1"/>
    <xf numFmtId="168" fontId="2" fillId="2" borderId="0" xfId="0" applyNumberFormat="1" applyFont="1" applyFill="1"/>
    <xf numFmtId="168" fontId="3" fillId="2" borderId="0" xfId="0" applyNumberFormat="1" applyFont="1" applyFill="1"/>
    <xf numFmtId="9" fontId="3" fillId="2" borderId="0" xfId="3" applyFont="1" applyFill="1" applyBorder="1"/>
    <xf numFmtId="168" fontId="4" fillId="2" borderId="0" xfId="0" applyNumberFormat="1" applyFont="1" applyFill="1"/>
    <xf numFmtId="168" fontId="8" fillId="2" borderId="0" xfId="0" applyNumberFormat="1" applyFont="1" applyFill="1"/>
    <xf numFmtId="166" fontId="17" fillId="3" borderId="0" xfId="3" applyNumberFormat="1" applyFont="1" applyFill="1"/>
    <xf numFmtId="170" fontId="3" fillId="4" borderId="0" xfId="4" applyFont="1" applyFill="1" applyBorder="1"/>
    <xf numFmtId="165" fontId="4" fillId="4" borderId="3" xfId="0" applyNumberFormat="1" applyFont="1" applyFill="1" applyBorder="1"/>
    <xf numFmtId="9" fontId="4" fillId="2" borderId="0" xfId="3" applyFont="1" applyFill="1"/>
    <xf numFmtId="164" fontId="13" fillId="2" borderId="3" xfId="0" applyNumberFormat="1" applyFont="1" applyFill="1" applyBorder="1"/>
    <xf numFmtId="165" fontId="18" fillId="2" borderId="0" xfId="0" applyNumberFormat="1" applyFont="1" applyFill="1"/>
    <xf numFmtId="167" fontId="3" fillId="2" borderId="0" xfId="4" applyNumberFormat="1" applyFont="1" applyFill="1"/>
    <xf numFmtId="167" fontId="3" fillId="4" borderId="0" xfId="4" applyNumberFormat="1" applyFont="1" applyFill="1"/>
    <xf numFmtId="166" fontId="3" fillId="4" borderId="0" xfId="3" applyNumberFormat="1" applyFont="1" applyFill="1"/>
    <xf numFmtId="172" fontId="14" fillId="2" borderId="0" xfId="0" applyNumberFormat="1" applyFont="1" applyFill="1" applyAlignment="1">
      <alignment horizontal="left"/>
    </xf>
    <xf numFmtId="172" fontId="14" fillId="2" borderId="0" xfId="0" applyNumberFormat="1" applyFont="1" applyFill="1"/>
    <xf numFmtId="0" fontId="14" fillId="2" borderId="0" xfId="0" applyFont="1" applyFill="1"/>
    <xf numFmtId="0" fontId="14" fillId="2" borderId="0" xfId="0" applyFont="1" applyFill="1" applyAlignment="1">
      <alignment horizontal="left"/>
    </xf>
    <xf numFmtId="0" fontId="14" fillId="2" borderId="0" xfId="0" applyFont="1" applyFill="1" applyAlignment="1">
      <alignment vertical="top" wrapText="1"/>
    </xf>
    <xf numFmtId="172" fontId="14" fillId="2" borderId="0" xfId="0" applyNumberFormat="1" applyFont="1" applyFill="1" applyAlignment="1">
      <alignment vertical="top" wrapText="1"/>
    </xf>
    <xf numFmtId="0" fontId="14" fillId="2" borderId="0" xfId="0" applyFont="1" applyFill="1" applyAlignment="1">
      <alignment vertical="top"/>
    </xf>
    <xf numFmtId="0" fontId="19" fillId="2" borderId="3" xfId="0" applyFont="1" applyFill="1" applyBorder="1"/>
    <xf numFmtId="167" fontId="19" fillId="2" borderId="3" xfId="4" applyNumberFormat="1" applyFont="1" applyFill="1" applyBorder="1"/>
    <xf numFmtId="167" fontId="19" fillId="4" borderId="3" xfId="4" applyNumberFormat="1" applyFont="1" applyFill="1" applyBorder="1"/>
    <xf numFmtId="0" fontId="4" fillId="2" borderId="2" xfId="0" applyFont="1" applyFill="1" applyBorder="1"/>
    <xf numFmtId="164" fontId="19" fillId="2" borderId="5" xfId="0" applyNumberFormat="1" applyFont="1" applyFill="1" applyBorder="1"/>
    <xf numFmtId="164" fontId="19" fillId="2" borderId="5" xfId="0" applyNumberFormat="1" applyFont="1" applyFill="1" applyBorder="1" applyAlignment="1">
      <alignment horizontal="right" wrapText="1"/>
    </xf>
    <xf numFmtId="173" fontId="3" fillId="2" borderId="0" xfId="0" applyNumberFormat="1" applyFont="1" applyFill="1"/>
    <xf numFmtId="164" fontId="19" fillId="2" borderId="3" xfId="0" applyNumberFormat="1" applyFont="1" applyFill="1" applyBorder="1"/>
    <xf numFmtId="165" fontId="19" fillId="2" borderId="3" xfId="0" applyNumberFormat="1" applyFont="1" applyFill="1" applyBorder="1"/>
    <xf numFmtId="164" fontId="19" fillId="2" borderId="7" xfId="0" applyNumberFormat="1" applyFont="1" applyFill="1" applyBorder="1"/>
    <xf numFmtId="165" fontId="19" fillId="2" borderId="7" xfId="0" applyNumberFormat="1" applyFont="1" applyFill="1" applyBorder="1"/>
    <xf numFmtId="164" fontId="3" fillId="2" borderId="7" xfId="0" applyNumberFormat="1" applyFont="1" applyFill="1" applyBorder="1"/>
    <xf numFmtId="165" fontId="3" fillId="2" borderId="7" xfId="0" applyNumberFormat="1" applyFont="1" applyFill="1" applyBorder="1"/>
    <xf numFmtId="164" fontId="19" fillId="2" borderId="0" xfId="0" applyNumberFormat="1" applyFont="1" applyFill="1"/>
    <xf numFmtId="165" fontId="19" fillId="2" borderId="0" xfId="0" applyNumberFormat="1" applyFont="1" applyFill="1"/>
    <xf numFmtId="164" fontId="3" fillId="2" borderId="3" xfId="0" applyNumberFormat="1" applyFont="1" applyFill="1" applyBorder="1"/>
    <xf numFmtId="164" fontId="4" fillId="2" borderId="0" xfId="0" applyNumberFormat="1" applyFont="1" applyFill="1" applyAlignment="1">
      <alignment horizontal="center" wrapText="1"/>
    </xf>
    <xf numFmtId="164" fontId="4" fillId="2" borderId="8" xfId="0" applyNumberFormat="1" applyFont="1" applyFill="1" applyBorder="1" applyAlignment="1">
      <alignment horizontal="left"/>
    </xf>
    <xf numFmtId="164" fontId="4" fillId="2" borderId="8" xfId="0" applyNumberFormat="1" applyFont="1" applyFill="1" applyBorder="1" applyAlignment="1">
      <alignment horizontal="left" vertical="center"/>
    </xf>
    <xf numFmtId="164" fontId="4" fillId="2" borderId="8" xfId="0" applyNumberFormat="1" applyFont="1" applyFill="1" applyBorder="1" applyAlignment="1">
      <alignment horizontal="left" wrapText="1"/>
    </xf>
    <xf numFmtId="166" fontId="3" fillId="4" borderId="0" xfId="0" applyNumberFormat="1" applyFont="1" applyFill="1"/>
    <xf numFmtId="165" fontId="19" fillId="4" borderId="0" xfId="0" applyNumberFormat="1" applyFont="1" applyFill="1"/>
    <xf numFmtId="167" fontId="19" fillId="4" borderId="0" xfId="0" applyNumberFormat="1" applyFont="1" applyFill="1"/>
    <xf numFmtId="165" fontId="3" fillId="2" borderId="8" xfId="0" applyNumberFormat="1" applyFont="1" applyFill="1" applyBorder="1" applyAlignment="1">
      <alignment horizontal="center" vertical="center"/>
    </xf>
    <xf numFmtId="16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165" fontId="3" fillId="2" borderId="8" xfId="0" applyNumberFormat="1" applyFont="1" applyFill="1" applyBorder="1" applyAlignment="1">
      <alignment horizontal="center"/>
    </xf>
    <xf numFmtId="174" fontId="3" fillId="2" borderId="0" xfId="0" applyNumberFormat="1" applyFont="1" applyFill="1"/>
    <xf numFmtId="10" fontId="3" fillId="2" borderId="0" xfId="0" applyNumberFormat="1" applyFont="1" applyFill="1"/>
    <xf numFmtId="165" fontId="3" fillId="2" borderId="8" xfId="0" applyNumberFormat="1" applyFont="1" applyFill="1" applyBorder="1" applyAlignment="1">
      <alignment vertical="center"/>
    </xf>
    <xf numFmtId="164" fontId="19" fillId="2" borderId="8" xfId="0" applyNumberFormat="1" applyFont="1" applyFill="1" applyBorder="1" applyAlignment="1">
      <alignment horizontal="left" vertical="center"/>
    </xf>
    <xf numFmtId="164" fontId="19" fillId="2" borderId="9" xfId="0" applyNumberFormat="1" applyFont="1" applyFill="1" applyBorder="1" applyAlignment="1">
      <alignment vertical="center"/>
    </xf>
    <xf numFmtId="164" fontId="19" fillId="2" borderId="9" xfId="0" applyNumberFormat="1" applyFont="1" applyFill="1" applyBorder="1" applyAlignment="1">
      <alignment horizontal="left" vertical="center"/>
    </xf>
    <xf numFmtId="165" fontId="21" fillId="2" borderId="0" xfId="0" applyNumberFormat="1" applyFont="1" applyFill="1"/>
    <xf numFmtId="164" fontId="21" fillId="2" borderId="0" xfId="0" applyNumberFormat="1" applyFont="1" applyFill="1"/>
    <xf numFmtId="164" fontId="22" fillId="2" borderId="0" xfId="0" applyNumberFormat="1" applyFont="1" applyFill="1"/>
    <xf numFmtId="165" fontId="22" fillId="2" borderId="0" xfId="0" applyNumberFormat="1" applyFont="1" applyFill="1"/>
    <xf numFmtId="164" fontId="24" fillId="2" borderId="0" xfId="0" applyNumberFormat="1" applyFont="1" applyFill="1"/>
    <xf numFmtId="164" fontId="19" fillId="2" borderId="8" xfId="0" applyNumberFormat="1" applyFont="1" applyFill="1" applyBorder="1" applyAlignment="1">
      <alignment vertical="center"/>
    </xf>
    <xf numFmtId="1" fontId="3" fillId="4" borderId="0" xfId="3" applyNumberFormat="1" applyFont="1" applyFill="1"/>
    <xf numFmtId="165" fontId="24" fillId="2" borderId="0" xfId="0" applyNumberFormat="1" applyFont="1" applyFill="1" applyAlignment="1">
      <alignment horizontal="right"/>
    </xf>
    <xf numFmtId="166" fontId="3" fillId="4" borderId="0" xfId="3" applyNumberFormat="1" applyFont="1" applyFill="1" applyAlignment="1">
      <alignment vertical="top"/>
    </xf>
    <xf numFmtId="164" fontId="2" fillId="2" borderId="3" xfId="0" applyNumberFormat="1" applyFont="1" applyFill="1" applyBorder="1"/>
    <xf numFmtId="166" fontId="24" fillId="2" borderId="0" xfId="3" applyNumberFormat="1" applyFont="1" applyFill="1"/>
    <xf numFmtId="166" fontId="24" fillId="4" borderId="0" xfId="3" applyNumberFormat="1" applyFont="1" applyFill="1"/>
    <xf numFmtId="166" fontId="24" fillId="2" borderId="0" xfId="0" applyNumberFormat="1" applyFont="1" applyFill="1"/>
    <xf numFmtId="166" fontId="3" fillId="4" borderId="0" xfId="3" applyNumberFormat="1" applyFont="1" applyFill="1" applyAlignment="1">
      <alignment vertical="center"/>
    </xf>
    <xf numFmtId="1" fontId="24" fillId="4" borderId="0" xfId="3" applyNumberFormat="1" applyFont="1" applyFill="1"/>
    <xf numFmtId="164" fontId="19" fillId="2" borderId="0" xfId="0" applyNumberFormat="1" applyFont="1" applyFill="1" applyAlignment="1">
      <alignment horizontal="right" wrapText="1"/>
    </xf>
    <xf numFmtId="165" fontId="23" fillId="2" borderId="0" xfId="0" applyNumberFormat="1" applyFont="1" applyFill="1"/>
    <xf numFmtId="164" fontId="19" fillId="2" borderId="0" xfId="0" applyNumberFormat="1" applyFont="1" applyFill="1" applyAlignment="1">
      <alignment wrapText="1"/>
    </xf>
    <xf numFmtId="164" fontId="3" fillId="2" borderId="0" xfId="0" applyNumberFormat="1" applyFont="1" applyFill="1" applyAlignment="1">
      <alignment horizontal="left" indent="1"/>
    </xf>
    <xf numFmtId="164" fontId="19" fillId="2" borderId="12" xfId="0" applyNumberFormat="1" applyFont="1" applyFill="1" applyBorder="1"/>
    <xf numFmtId="164" fontId="3" fillId="2" borderId="12" xfId="0" applyNumberFormat="1" applyFont="1" applyFill="1" applyBorder="1"/>
    <xf numFmtId="168" fontId="3" fillId="2" borderId="0" xfId="0" applyNumberFormat="1" applyFont="1" applyFill="1" applyAlignment="1">
      <alignment horizontal="left" indent="1"/>
    </xf>
    <xf numFmtId="164" fontId="23" fillId="2" borderId="0" xfId="0" applyNumberFormat="1" applyFont="1" applyFill="1"/>
    <xf numFmtId="165" fontId="20" fillId="2" borderId="0" xfId="0" applyNumberFormat="1" applyFont="1" applyFill="1"/>
    <xf numFmtId="168" fontId="3" fillId="2" borderId="0" xfId="0" applyNumberFormat="1" applyFont="1" applyFill="1" applyAlignment="1">
      <alignment vertical="center" wrapText="1"/>
    </xf>
    <xf numFmtId="10" fontId="24" fillId="2" borderId="0" xfId="0" applyNumberFormat="1" applyFont="1" applyFill="1" applyAlignment="1">
      <alignment horizontal="right"/>
    </xf>
    <xf numFmtId="165" fontId="3" fillId="4" borderId="0" xfId="0" applyNumberFormat="1" applyFont="1" applyFill="1" applyAlignment="1">
      <alignment horizontal="right"/>
    </xf>
    <xf numFmtId="165" fontId="24" fillId="4" borderId="0" xfId="3" applyNumberFormat="1" applyFont="1" applyFill="1"/>
    <xf numFmtId="164" fontId="19" fillId="2" borderId="8" xfId="0" applyNumberFormat="1" applyFont="1" applyFill="1" applyBorder="1"/>
    <xf numFmtId="164" fontId="19" fillId="2" borderId="8" xfId="0" applyNumberFormat="1" applyFont="1" applyFill="1" applyBorder="1" applyAlignment="1">
      <alignment horizontal="left"/>
    </xf>
    <xf numFmtId="166" fontId="3" fillId="2" borderId="8" xfId="0" applyNumberFormat="1" applyFont="1" applyFill="1" applyBorder="1" applyAlignment="1">
      <alignment horizontal="right"/>
    </xf>
    <xf numFmtId="165" fontId="3" fillId="0" borderId="8" xfId="0" applyNumberFormat="1" applyFont="1" applyBorder="1" applyAlignment="1">
      <alignment horizontal="right" vertical="center"/>
    </xf>
    <xf numFmtId="1" fontId="3" fillId="2" borderId="8" xfId="0" applyNumberFormat="1" applyFont="1" applyFill="1" applyBorder="1" applyAlignment="1">
      <alignment horizontal="right"/>
    </xf>
    <xf numFmtId="166" fontId="3" fillId="2" borderId="9" xfId="0" applyNumberFormat="1" applyFont="1" applyFill="1" applyBorder="1" applyAlignment="1">
      <alignment horizontal="right"/>
    </xf>
    <xf numFmtId="165" fontId="3" fillId="0" borderId="8" xfId="0" applyNumberFormat="1" applyFont="1" applyBorder="1" applyAlignment="1">
      <alignment horizontal="right"/>
    </xf>
    <xf numFmtId="168" fontId="8" fillId="2" borderId="0" xfId="0" applyNumberFormat="1" applyFont="1" applyFill="1" applyAlignment="1">
      <alignment horizontal="right"/>
    </xf>
    <xf numFmtId="168" fontId="4" fillId="2" borderId="12" xfId="0" applyNumberFormat="1" applyFont="1" applyFill="1" applyBorder="1"/>
    <xf numFmtId="164" fontId="4" fillId="2" borderId="7" xfId="0" applyNumberFormat="1" applyFont="1" applyFill="1" applyBorder="1"/>
    <xf numFmtId="168" fontId="4" fillId="2" borderId="7" xfId="0" applyNumberFormat="1" applyFont="1" applyFill="1" applyBorder="1"/>
    <xf numFmtId="168" fontId="4" fillId="2" borderId="0" xfId="0" applyNumberFormat="1" applyFont="1" applyFill="1" applyAlignment="1">
      <alignment vertical="center" wrapText="1"/>
    </xf>
    <xf numFmtId="168" fontId="10" fillId="2" borderId="0" xfId="0" applyNumberFormat="1" applyFont="1" applyFill="1"/>
    <xf numFmtId="164" fontId="7" fillId="2" borderId="0" xfId="0" applyNumberFormat="1" applyFont="1" applyFill="1"/>
    <xf numFmtId="168" fontId="14" fillId="2" borderId="0" xfId="0" applyNumberFormat="1" applyFont="1" applyFill="1"/>
    <xf numFmtId="164" fontId="15" fillId="2" borderId="0" xfId="0" applyNumberFormat="1" applyFont="1" applyFill="1"/>
    <xf numFmtId="165" fontId="8" fillId="2" borderId="0" xfId="0" applyNumberFormat="1" applyFont="1" applyFill="1"/>
    <xf numFmtId="169" fontId="3" fillId="2" borderId="0" xfId="0" applyNumberFormat="1" applyFont="1" applyFill="1"/>
    <xf numFmtId="168" fontId="16" fillId="2" borderId="0" xfId="0" applyNumberFormat="1" applyFont="1" applyFill="1"/>
    <xf numFmtId="171" fontId="8" fillId="2" borderId="0" xfId="4" applyNumberFormat="1" applyFont="1" applyFill="1" applyBorder="1"/>
    <xf numFmtId="164" fontId="3" fillId="2" borderId="13" xfId="0" applyNumberFormat="1" applyFont="1" applyFill="1" applyBorder="1" applyAlignment="1">
      <alignment horizontal="left" vertical="center"/>
    </xf>
    <xf numFmtId="165" fontId="3" fillId="2" borderId="3" xfId="0" applyNumberFormat="1" applyFont="1" applyFill="1" applyBorder="1" applyAlignment="1">
      <alignment horizontal="center" vertical="center"/>
    </xf>
    <xf numFmtId="165" fontId="3" fillId="4" borderId="3" xfId="0" applyNumberFormat="1" applyFont="1" applyFill="1" applyBorder="1" applyAlignment="1">
      <alignment horizontal="center" vertical="center"/>
    </xf>
    <xf numFmtId="165" fontId="3" fillId="4" borderId="14" xfId="0" applyNumberFormat="1" applyFont="1" applyFill="1" applyBorder="1" applyAlignment="1">
      <alignment horizontal="center" vertical="center"/>
    </xf>
    <xf numFmtId="164" fontId="3" fillId="2" borderId="15" xfId="0" applyNumberFormat="1" applyFont="1" applyFill="1" applyBorder="1" applyAlignment="1">
      <alignment horizontal="left" vertical="center" wrapText="1"/>
    </xf>
    <xf numFmtId="165" fontId="3" fillId="4" borderId="0" xfId="0" applyNumberFormat="1" applyFont="1" applyFill="1" applyAlignment="1">
      <alignment horizontal="center" vertical="center"/>
    </xf>
    <xf numFmtId="165" fontId="3" fillId="4" borderId="6" xfId="0" applyNumberFormat="1" applyFont="1" applyFill="1" applyBorder="1" applyAlignment="1">
      <alignment horizontal="center" vertical="center"/>
    </xf>
    <xf numFmtId="164" fontId="3" fillId="2" borderId="16" xfId="0" applyNumberFormat="1" applyFont="1" applyFill="1" applyBorder="1" applyAlignment="1">
      <alignment horizontal="left" vertical="center"/>
    </xf>
    <xf numFmtId="165" fontId="3" fillId="2" borderId="5" xfId="0" applyNumberFormat="1" applyFont="1" applyFill="1" applyBorder="1" applyAlignment="1">
      <alignment horizontal="center" vertical="center"/>
    </xf>
    <xf numFmtId="165" fontId="3" fillId="4" borderId="5" xfId="0" applyNumberFormat="1" applyFont="1" applyFill="1" applyBorder="1" applyAlignment="1">
      <alignment horizontal="center" vertical="center"/>
    </xf>
    <xf numFmtId="165" fontId="3" fillId="4" borderId="17" xfId="0" applyNumberFormat="1" applyFont="1" applyFill="1" applyBorder="1" applyAlignment="1">
      <alignment horizontal="center" vertical="center"/>
    </xf>
    <xf numFmtId="165" fontId="25" fillId="2" borderId="4" xfId="0" applyNumberFormat="1" applyFont="1" applyFill="1" applyBorder="1"/>
    <xf numFmtId="168" fontId="3" fillId="4" borderId="0" xfId="0" applyNumberFormat="1" applyFont="1" applyFill="1"/>
    <xf numFmtId="10" fontId="3" fillId="4" borderId="0" xfId="0" applyNumberFormat="1" applyFont="1" applyFill="1"/>
    <xf numFmtId="0" fontId="19" fillId="2" borderId="0" xfId="0" applyFont="1" applyFill="1"/>
    <xf numFmtId="9" fontId="3" fillId="2" borderId="0" xfId="0" applyNumberFormat="1" applyFont="1" applyFill="1"/>
    <xf numFmtId="164" fontId="3" fillId="2" borderId="0" xfId="4" applyNumberFormat="1" applyFont="1" applyFill="1"/>
    <xf numFmtId="0" fontId="27" fillId="2" borderId="0" xfId="0" applyFont="1" applyFill="1" applyAlignment="1">
      <alignment horizontal="left"/>
    </xf>
    <xf numFmtId="0" fontId="28" fillId="2" borderId="0" xfId="1" applyFont="1" applyFill="1"/>
    <xf numFmtId="0" fontId="29" fillId="0" borderId="5" xfId="0" applyFont="1" applyBorder="1"/>
    <xf numFmtId="164" fontId="4" fillId="2" borderId="5" xfId="0" applyNumberFormat="1" applyFont="1" applyFill="1" applyBorder="1" applyAlignment="1">
      <alignment horizontal="right" wrapText="1"/>
    </xf>
    <xf numFmtId="164" fontId="4" fillId="2" borderId="0" xfId="0" applyNumberFormat="1" applyFont="1" applyFill="1" applyAlignment="1">
      <alignment wrapText="1"/>
    </xf>
    <xf numFmtId="165" fontId="4" fillId="2" borderId="0" xfId="0" applyNumberFormat="1" applyFont="1" applyFill="1"/>
    <xf numFmtId="9" fontId="4" fillId="2" borderId="0" xfId="3" applyFont="1" applyFill="1" applyBorder="1"/>
    <xf numFmtId="164" fontId="13" fillId="2" borderId="0" xfId="0" applyNumberFormat="1" applyFont="1" applyFill="1"/>
    <xf numFmtId="9" fontId="13" fillId="2" borderId="0" xfId="3" applyFont="1" applyFill="1" applyBorder="1"/>
    <xf numFmtId="170" fontId="3" fillId="2" borderId="0" xfId="4" applyFont="1" applyFill="1" applyBorder="1"/>
    <xf numFmtId="164" fontId="17" fillId="2" borderId="0" xfId="0" applyNumberFormat="1" applyFont="1" applyFill="1"/>
    <xf numFmtId="0" fontId="35" fillId="3" borderId="0" xfId="0" applyFont="1" applyFill="1"/>
    <xf numFmtId="0" fontId="0" fillId="3" borderId="0" xfId="0" applyFill="1"/>
    <xf numFmtId="0" fontId="0" fillId="2" borderId="0" xfId="0" applyFill="1"/>
    <xf numFmtId="0" fontId="30" fillId="2" borderId="0" xfId="5" applyFont="1" applyFill="1"/>
    <xf numFmtId="0" fontId="32" fillId="7" borderId="0" xfId="0" applyFont="1" applyFill="1"/>
    <xf numFmtId="0" fontId="32" fillId="7" borderId="0" xfId="0" applyFont="1" applyFill="1" applyAlignment="1">
      <alignment horizontal="center" vertical="center" wrapText="1"/>
    </xf>
    <xf numFmtId="0" fontId="32" fillId="7" borderId="0" xfId="0" applyFont="1" applyFill="1" applyAlignment="1">
      <alignment horizontal="center" vertical="center"/>
    </xf>
    <xf numFmtId="0" fontId="0" fillId="6" borderId="18" xfId="0" applyFill="1" applyBorder="1"/>
    <xf numFmtId="0" fontId="0" fillId="6" borderId="18" xfId="0" applyFill="1" applyBorder="1" applyAlignment="1">
      <alignment horizontal="center"/>
    </xf>
    <xf numFmtId="43" fontId="37" fillId="6" borderId="18" xfId="4" applyNumberFormat="1" applyFont="1" applyFill="1" applyBorder="1"/>
    <xf numFmtId="175" fontId="37" fillId="6" borderId="18" xfId="4" applyNumberFormat="1" applyFont="1" applyFill="1" applyBorder="1"/>
    <xf numFmtId="175" fontId="33" fillId="6" borderId="18" xfId="4" applyNumberFormat="1" applyFont="1" applyFill="1" applyBorder="1"/>
    <xf numFmtId="175" fontId="0" fillId="6" borderId="18" xfId="4" applyNumberFormat="1" applyFont="1" applyFill="1" applyBorder="1"/>
    <xf numFmtId="0" fontId="0" fillId="0" borderId="0" xfId="0" applyAlignment="1">
      <alignment horizontal="center"/>
    </xf>
    <xf numFmtId="43" fontId="37" fillId="0" borderId="0" xfId="4" applyNumberFormat="1" applyFont="1" applyBorder="1"/>
    <xf numFmtId="175" fontId="37" fillId="0" borderId="0" xfId="4" applyNumberFormat="1" applyFont="1" applyBorder="1"/>
    <xf numFmtId="175" fontId="33" fillId="0" borderId="0" xfId="4" applyNumberFormat="1" applyFont="1" applyBorder="1"/>
    <xf numFmtId="175" fontId="0" fillId="0" borderId="0" xfId="4" applyNumberFormat="1" applyFont="1" applyBorder="1"/>
    <xf numFmtId="176" fontId="0" fillId="0" borderId="0" xfId="4" applyNumberFormat="1" applyFont="1" applyBorder="1"/>
    <xf numFmtId="175" fontId="0" fillId="0" borderId="0" xfId="0" applyNumberFormat="1"/>
    <xf numFmtId="0" fontId="0" fillId="6" borderId="19" xfId="0" applyFill="1" applyBorder="1"/>
    <xf numFmtId="176" fontId="0" fillId="6" borderId="19" xfId="0" applyNumberFormat="1" applyFill="1" applyBorder="1"/>
    <xf numFmtId="0" fontId="0" fillId="6" borderId="0" xfId="0" applyFill="1"/>
    <xf numFmtId="0" fontId="34" fillId="6" borderId="0" xfId="0" applyFont="1" applyFill="1"/>
    <xf numFmtId="176" fontId="0" fillId="6" borderId="0" xfId="0" applyNumberFormat="1" applyFill="1"/>
    <xf numFmtId="176" fontId="34" fillId="6" borderId="0" xfId="0" applyNumberFormat="1" applyFont="1" applyFill="1"/>
    <xf numFmtId="0" fontId="0" fillId="6" borderId="20" xfId="0" applyFill="1" applyBorder="1"/>
    <xf numFmtId="176" fontId="0" fillId="6" borderId="20" xfId="0" applyNumberFormat="1" applyFill="1" applyBorder="1"/>
    <xf numFmtId="0" fontId="36" fillId="7" borderId="0" xfId="0" applyFont="1" applyFill="1"/>
    <xf numFmtId="0" fontId="34" fillId="8" borderId="18" xfId="0" applyFont="1" applyFill="1" applyBorder="1"/>
    <xf numFmtId="177" fontId="34" fillId="8" borderId="18" xfId="0" applyNumberFormat="1" applyFont="1" applyFill="1" applyBorder="1"/>
    <xf numFmtId="175" fontId="38" fillId="8" borderId="18" xfId="4" applyNumberFormat="1" applyFont="1" applyFill="1" applyBorder="1"/>
    <xf numFmtId="43" fontId="34" fillId="8" borderId="18" xfId="4" applyNumberFormat="1" applyFont="1" applyFill="1" applyBorder="1"/>
    <xf numFmtId="0" fontId="0" fillId="2" borderId="5" xfId="0" applyFill="1" applyBorder="1"/>
    <xf numFmtId="0" fontId="32" fillId="2" borderId="0" xfId="0" applyFont="1" applyFill="1" applyAlignment="1">
      <alignment horizontal="center"/>
    </xf>
    <xf numFmtId="0" fontId="32" fillId="2" borderId="0" xfId="0" applyFont="1" applyFill="1" applyAlignment="1">
      <alignment horizontal="center" vertical="center" wrapText="1"/>
    </xf>
    <xf numFmtId="0" fontId="32" fillId="2" borderId="0" xfId="0" applyFont="1" applyFill="1" applyAlignment="1">
      <alignment horizontal="center" vertical="center"/>
    </xf>
    <xf numFmtId="164" fontId="2" fillId="2" borderId="0" xfId="0" applyNumberFormat="1" applyFont="1" applyFill="1" applyAlignment="1">
      <alignment wrapText="1"/>
    </xf>
    <xf numFmtId="0" fontId="41" fillId="2" borderId="8" xfId="5" applyFont="1" applyFill="1" applyBorder="1" applyAlignment="1">
      <alignment horizontal="center"/>
    </xf>
    <xf numFmtId="0" fontId="39" fillId="2" borderId="21" xfId="5" applyFont="1" applyFill="1" applyBorder="1" applyAlignment="1">
      <alignment horizontal="center"/>
    </xf>
    <xf numFmtId="165" fontId="7" fillId="2" borderId="0" xfId="0" applyNumberFormat="1" applyFont="1" applyFill="1"/>
    <xf numFmtId="178" fontId="0" fillId="6" borderId="18" xfId="4" applyNumberFormat="1" applyFont="1" applyFill="1" applyBorder="1"/>
    <xf numFmtId="177" fontId="0" fillId="2" borderId="0" xfId="0" applyNumberFormat="1" applyFill="1"/>
    <xf numFmtId="175" fontId="33" fillId="2" borderId="0" xfId="4" applyNumberFormat="1" applyFont="1" applyFill="1" applyBorder="1"/>
    <xf numFmtId="175" fontId="0" fillId="2" borderId="0" xfId="0" applyNumberFormat="1" applyFill="1"/>
    <xf numFmtId="175" fontId="37" fillId="2" borderId="0" xfId="4" applyNumberFormat="1" applyFont="1" applyFill="1" applyBorder="1"/>
    <xf numFmtId="0" fontId="43" fillId="2" borderId="0" xfId="0" applyFont="1" applyFill="1"/>
    <xf numFmtId="164" fontId="3" fillId="2" borderId="0" xfId="0" applyNumberFormat="1" applyFont="1" applyFill="1" applyAlignment="1">
      <alignment horizontal="center"/>
    </xf>
    <xf numFmtId="164" fontId="7" fillId="3" borderId="2" xfId="0" applyNumberFormat="1" applyFont="1" applyFill="1" applyBorder="1" applyAlignment="1">
      <alignment horizontal="left" vertical="center" wrapText="1"/>
    </xf>
    <xf numFmtId="3" fontId="0" fillId="6" borderId="0" xfId="0" applyNumberFormat="1" applyFill="1"/>
    <xf numFmtId="10" fontId="0" fillId="6" borderId="0" xfId="0" applyNumberFormat="1" applyFill="1" applyAlignment="1">
      <alignment horizontal="right"/>
    </xf>
    <xf numFmtId="3" fontId="0" fillId="6" borderId="0" xfId="0" applyNumberFormat="1" applyFill="1" applyAlignment="1">
      <alignment horizontal="right"/>
    </xf>
    <xf numFmtId="9" fontId="0" fillId="6" borderId="0" xfId="0" applyNumberFormat="1" applyFill="1" applyAlignment="1">
      <alignment horizontal="right"/>
    </xf>
    <xf numFmtId="0" fontId="0" fillId="6" borderId="0" xfId="0" applyFill="1" applyAlignment="1">
      <alignment horizontal="right"/>
    </xf>
    <xf numFmtId="10" fontId="17" fillId="3" borderId="0" xfId="3" applyNumberFormat="1" applyFont="1" applyFill="1"/>
    <xf numFmtId="166" fontId="13" fillId="2" borderId="6" xfId="3" applyNumberFormat="1" applyFont="1" applyFill="1" applyBorder="1"/>
    <xf numFmtId="166" fontId="13" fillId="2" borderId="5" xfId="3" applyNumberFormat="1" applyFont="1" applyFill="1" applyBorder="1"/>
    <xf numFmtId="10" fontId="13" fillId="2" borderId="5" xfId="3" applyNumberFormat="1" applyFont="1" applyFill="1" applyBorder="1"/>
    <xf numFmtId="165" fontId="19" fillId="6" borderId="0" xfId="0" applyNumberFormat="1" applyFont="1" applyFill="1"/>
    <xf numFmtId="10" fontId="46" fillId="6" borderId="0" xfId="0" applyNumberFormat="1" applyFont="1" applyFill="1" applyAlignment="1">
      <alignment horizontal="right"/>
    </xf>
    <xf numFmtId="0" fontId="46" fillId="2" borderId="0" xfId="0" applyFont="1" applyFill="1"/>
    <xf numFmtId="179" fontId="3" fillId="2" borderId="0" xfId="0" applyNumberFormat="1" applyFont="1" applyFill="1"/>
    <xf numFmtId="166" fontId="3" fillId="2" borderId="0" xfId="0" applyNumberFormat="1" applyFont="1" applyFill="1"/>
    <xf numFmtId="164" fontId="19" fillId="2" borderId="8" xfId="0" applyNumberFormat="1" applyFont="1" applyFill="1" applyBorder="1" applyAlignment="1">
      <alignment horizontal="center" vertical="center" wrapText="1"/>
    </xf>
    <xf numFmtId="164" fontId="19" fillId="2" borderId="8" xfId="0" applyNumberFormat="1" applyFont="1" applyFill="1" applyBorder="1" applyAlignment="1">
      <alignment horizontal="center" vertical="center"/>
    </xf>
    <xf numFmtId="164" fontId="21" fillId="2" borderId="8" xfId="0" applyNumberFormat="1" applyFont="1" applyFill="1" applyBorder="1" applyAlignment="1">
      <alignment horizontal="center"/>
    </xf>
    <xf numFmtId="165" fontId="3" fillId="2" borderId="8" xfId="0" applyNumberFormat="1" applyFont="1" applyFill="1" applyBorder="1" applyAlignment="1">
      <alignment horizontal="center"/>
    </xf>
    <xf numFmtId="164" fontId="22" fillId="2" borderId="8" xfId="0" applyNumberFormat="1" applyFont="1" applyFill="1" applyBorder="1" applyAlignment="1">
      <alignment horizontal="center"/>
    </xf>
    <xf numFmtId="164" fontId="3" fillId="2" borderId="8" xfId="0" applyNumberFormat="1" applyFont="1" applyFill="1" applyBorder="1" applyAlignment="1">
      <alignment horizontal="center"/>
    </xf>
    <xf numFmtId="164" fontId="3" fillId="2" borderId="0" xfId="0" applyNumberFormat="1" applyFont="1" applyFill="1" applyAlignment="1">
      <alignment horizontal="center"/>
    </xf>
    <xf numFmtId="164" fontId="20" fillId="2" borderId="8" xfId="0" applyNumberFormat="1" applyFont="1" applyFill="1" applyBorder="1" applyAlignment="1">
      <alignment horizontal="center" wrapText="1"/>
    </xf>
    <xf numFmtId="164" fontId="20" fillId="2" borderId="0" xfId="0" applyNumberFormat="1" applyFont="1" applyFill="1" applyAlignment="1">
      <alignment horizontal="center"/>
    </xf>
    <xf numFmtId="164" fontId="3" fillId="2" borderId="8" xfId="0" applyNumberFormat="1" applyFont="1" applyFill="1" applyBorder="1" applyAlignment="1">
      <alignment horizontal="center" wrapText="1"/>
    </xf>
    <xf numFmtId="165" fontId="3" fillId="2" borderId="8" xfId="0" applyNumberFormat="1" applyFont="1" applyFill="1" applyBorder="1" applyAlignment="1">
      <alignment horizontal="center" vertical="center"/>
    </xf>
    <xf numFmtId="165" fontId="3" fillId="2" borderId="0" xfId="0" applyNumberFormat="1" applyFont="1" applyFill="1" applyAlignment="1">
      <alignment horizontal="center"/>
    </xf>
    <xf numFmtId="164" fontId="19" fillId="2" borderId="0" xfId="0" applyNumberFormat="1" applyFont="1" applyFill="1" applyAlignment="1">
      <alignment horizontal="center" vertical="center"/>
    </xf>
    <xf numFmtId="164" fontId="7" fillId="3" borderId="8" xfId="0" applyNumberFormat="1" applyFont="1" applyFill="1" applyBorder="1" applyAlignment="1">
      <alignment horizontal="center"/>
    </xf>
    <xf numFmtId="164" fontId="3" fillId="2" borderId="10" xfId="0" applyNumberFormat="1" applyFont="1" applyFill="1" applyBorder="1" applyAlignment="1">
      <alignment horizontal="left" wrapText="1"/>
    </xf>
    <xf numFmtId="164" fontId="3" fillId="2" borderId="12" xfId="0" applyNumberFormat="1" applyFont="1" applyFill="1" applyBorder="1" applyAlignment="1">
      <alignment horizontal="left" wrapText="1"/>
    </xf>
    <xf numFmtId="164" fontId="3" fillId="2" borderId="11" xfId="0" applyNumberFormat="1" applyFont="1" applyFill="1" applyBorder="1" applyAlignment="1">
      <alignment horizontal="left" wrapText="1"/>
    </xf>
    <xf numFmtId="0" fontId="26" fillId="0" borderId="8" xfId="0" applyFont="1" applyBorder="1" applyAlignment="1">
      <alignment horizontal="center" wrapText="1"/>
    </xf>
    <xf numFmtId="49" fontId="3" fillId="2" borderId="10" xfId="0" applyNumberFormat="1" applyFont="1" applyFill="1" applyBorder="1" applyAlignment="1">
      <alignment horizontal="center" wrapText="1"/>
    </xf>
    <xf numFmtId="49" fontId="3" fillId="2" borderId="12" xfId="0" applyNumberFormat="1" applyFont="1" applyFill="1" applyBorder="1" applyAlignment="1">
      <alignment horizontal="center" wrapText="1"/>
    </xf>
    <xf numFmtId="49" fontId="3" fillId="2" borderId="11" xfId="0" applyNumberFormat="1" applyFont="1" applyFill="1" applyBorder="1" applyAlignment="1">
      <alignment horizontal="center" wrapText="1"/>
    </xf>
    <xf numFmtId="164" fontId="3" fillId="2" borderId="8" xfId="0" applyNumberFormat="1" applyFont="1" applyFill="1" applyBorder="1" applyAlignment="1">
      <alignment horizontal="left"/>
    </xf>
    <xf numFmtId="49" fontId="3" fillId="2" borderId="8" xfId="0" applyNumberFormat="1" applyFont="1" applyFill="1" applyBorder="1" applyAlignment="1">
      <alignment horizontal="left" wrapText="1"/>
    </xf>
    <xf numFmtId="164" fontId="4" fillId="2" borderId="8" xfId="0" applyNumberFormat="1" applyFont="1" applyFill="1" applyBorder="1" applyAlignment="1">
      <alignment horizontal="left" vertical="center" wrapText="1"/>
    </xf>
    <xf numFmtId="164" fontId="3" fillId="2" borderId="8" xfId="0" applyNumberFormat="1" applyFont="1" applyFill="1" applyBorder="1" applyAlignment="1">
      <alignment horizontal="left" vertical="center" wrapText="1"/>
    </xf>
    <xf numFmtId="164" fontId="3" fillId="2" borderId="8" xfId="0" applyNumberFormat="1" applyFont="1" applyFill="1" applyBorder="1" applyAlignment="1">
      <alignment horizontal="left" wrapText="1"/>
    </xf>
    <xf numFmtId="164" fontId="18" fillId="3" borderId="8" xfId="0" applyNumberFormat="1" applyFont="1" applyFill="1" applyBorder="1" applyAlignment="1">
      <alignment horizontal="center"/>
    </xf>
    <xf numFmtId="168" fontId="3" fillId="2" borderId="0" xfId="0" applyNumberFormat="1" applyFont="1" applyFill="1" applyAlignment="1">
      <alignment horizontal="left" vertical="center" wrapText="1"/>
    </xf>
    <xf numFmtId="168" fontId="3" fillId="2" borderId="0" xfId="0" applyNumberFormat="1" applyFont="1" applyFill="1" applyAlignment="1">
      <alignment horizontal="center" vertical="center" wrapText="1"/>
    </xf>
    <xf numFmtId="168" fontId="3" fillId="2" borderId="13" xfId="0" applyNumberFormat="1" applyFont="1" applyFill="1" applyBorder="1" applyAlignment="1">
      <alignment horizontal="left" wrapText="1"/>
    </xf>
    <xf numFmtId="168" fontId="3" fillId="2" borderId="14" xfId="0" applyNumberFormat="1" applyFont="1" applyFill="1" applyBorder="1" applyAlignment="1">
      <alignment horizontal="left" wrapText="1"/>
    </xf>
    <xf numFmtId="168" fontId="3" fillId="2" borderId="15" xfId="0" applyNumberFormat="1" applyFont="1" applyFill="1" applyBorder="1" applyAlignment="1">
      <alignment horizontal="left" wrapText="1"/>
    </xf>
    <xf numFmtId="168" fontId="3" fillId="2" borderId="6" xfId="0" applyNumberFormat="1" applyFont="1" applyFill="1" applyBorder="1" applyAlignment="1">
      <alignment horizontal="left" wrapText="1"/>
    </xf>
    <xf numFmtId="168" fontId="3" fillId="2" borderId="16" xfId="0" applyNumberFormat="1" applyFont="1" applyFill="1" applyBorder="1" applyAlignment="1">
      <alignment horizontal="left" wrapText="1"/>
    </xf>
    <xf numFmtId="168" fontId="3" fillId="2" borderId="17" xfId="0" applyNumberFormat="1" applyFont="1" applyFill="1" applyBorder="1" applyAlignment="1">
      <alignment horizontal="left" wrapText="1"/>
    </xf>
    <xf numFmtId="164" fontId="17" fillId="3" borderId="0" xfId="0" applyNumberFormat="1" applyFont="1" applyFill="1" applyAlignment="1">
      <alignment horizontal="center"/>
    </xf>
    <xf numFmtId="0" fontId="41" fillId="2" borderId="8" xfId="5" applyFont="1" applyFill="1" applyBorder="1" applyAlignment="1">
      <alignment horizontal="center"/>
    </xf>
    <xf numFmtId="0" fontId="40" fillId="2" borderId="8" xfId="5" applyFont="1" applyFill="1" applyBorder="1" applyAlignment="1">
      <alignment horizontal="center"/>
    </xf>
    <xf numFmtId="0" fontId="32" fillId="3" borderId="8" xfId="5" applyFont="1" applyFill="1" applyBorder="1" applyAlignment="1">
      <alignment horizontal="center"/>
    </xf>
    <xf numFmtId="0" fontId="43" fillId="2" borderId="3" xfId="0" applyFont="1" applyFill="1" applyBorder="1" applyAlignment="1">
      <alignment horizontal="center"/>
    </xf>
    <xf numFmtId="0" fontId="32" fillId="7" borderId="0" xfId="0" applyFont="1" applyFill="1" applyAlignment="1">
      <alignment horizontal="center"/>
    </xf>
    <xf numFmtId="0" fontId="32" fillId="3" borderId="19" xfId="5" applyFont="1" applyFill="1" applyBorder="1" applyAlignment="1">
      <alignment horizontal="left"/>
    </xf>
    <xf numFmtId="0" fontId="44" fillId="3" borderId="19" xfId="5" applyFont="1" applyFill="1" applyBorder="1" applyAlignment="1">
      <alignment horizontal="left"/>
    </xf>
    <xf numFmtId="0" fontId="45" fillId="2" borderId="8" xfId="5" applyFont="1" applyFill="1" applyBorder="1" applyAlignment="1">
      <alignment horizontal="center" vertical="center" wrapText="1"/>
    </xf>
    <xf numFmtId="0" fontId="3" fillId="2" borderId="8" xfId="0" applyFont="1" applyFill="1" applyBorder="1" applyAlignment="1">
      <alignment horizontal="center"/>
    </xf>
    <xf numFmtId="0" fontId="7" fillId="3" borderId="8" xfId="0" applyFont="1" applyFill="1" applyBorder="1" applyAlignment="1">
      <alignment horizontal="center"/>
    </xf>
    <xf numFmtId="164" fontId="42" fillId="2" borderId="5" xfId="0" applyNumberFormat="1" applyFont="1" applyFill="1" applyBorder="1" applyAlignment="1">
      <alignment horizontal="center" wrapText="1"/>
    </xf>
    <xf numFmtId="167" fontId="43" fillId="2" borderId="3" xfId="4" applyNumberFormat="1" applyFont="1" applyFill="1" applyBorder="1" applyAlignment="1">
      <alignment horizontal="center"/>
    </xf>
    <xf numFmtId="0" fontId="47" fillId="2" borderId="10" xfId="0" applyFont="1" applyFill="1" applyBorder="1" applyAlignment="1">
      <alignment horizontal="center" wrapText="1"/>
    </xf>
    <xf numFmtId="0" fontId="47" fillId="2" borderId="12" xfId="0" applyFont="1" applyFill="1" applyBorder="1" applyAlignment="1">
      <alignment horizontal="center" wrapText="1"/>
    </xf>
    <xf numFmtId="0" fontId="47" fillId="2" borderId="11" xfId="0" applyFont="1" applyFill="1" applyBorder="1" applyAlignment="1">
      <alignment horizontal="center" wrapText="1"/>
    </xf>
    <xf numFmtId="0" fontId="47" fillId="2" borderId="13" xfId="0" applyFont="1" applyFill="1" applyBorder="1" applyAlignment="1">
      <alignment horizontal="center" wrapText="1"/>
    </xf>
    <xf numFmtId="0" fontId="47" fillId="2" borderId="3" xfId="0" applyFont="1" applyFill="1" applyBorder="1" applyAlignment="1">
      <alignment horizontal="center" wrapText="1"/>
    </xf>
    <xf numFmtId="0" fontId="47" fillId="2" borderId="14" xfId="0" applyFont="1" applyFill="1" applyBorder="1" applyAlignment="1">
      <alignment horizontal="center" wrapText="1"/>
    </xf>
    <xf numFmtId="0" fontId="47" fillId="2" borderId="15" xfId="0" applyFont="1" applyFill="1" applyBorder="1" applyAlignment="1">
      <alignment horizontal="center" wrapText="1"/>
    </xf>
    <xf numFmtId="0" fontId="47" fillId="2" borderId="0" xfId="0" applyFont="1" applyFill="1" applyAlignment="1">
      <alignment horizontal="center" wrapText="1"/>
    </xf>
    <xf numFmtId="0" fontId="47" fillId="2" borderId="6" xfId="0" applyFont="1" applyFill="1" applyBorder="1" applyAlignment="1">
      <alignment horizontal="center" wrapText="1"/>
    </xf>
    <xf numFmtId="0" fontId="47" fillId="2" borderId="16" xfId="0" applyFont="1" applyFill="1" applyBorder="1" applyAlignment="1">
      <alignment horizontal="center" wrapText="1"/>
    </xf>
    <xf numFmtId="0" fontId="47" fillId="2" borderId="5" xfId="0" applyFont="1" applyFill="1" applyBorder="1" applyAlignment="1">
      <alignment horizontal="center" wrapText="1"/>
    </xf>
    <xf numFmtId="0" fontId="47" fillId="2" borderId="17" xfId="0" applyFont="1" applyFill="1" applyBorder="1" applyAlignment="1">
      <alignment horizontal="center" wrapText="1"/>
    </xf>
  </cellXfs>
  <cellStyles count="8">
    <cellStyle name="Comma 2" xfId="4" xr:uid="{711E7410-1D13-C040-82AF-CAB4C4AA60A0}"/>
    <cellStyle name="Hyperlink" xfId="1" builtinId="8"/>
    <cellStyle name="Normal" xfId="0" builtinId="0"/>
    <cellStyle name="Normal 2" xfId="6" xr:uid="{0F77DED6-BE80-6E45-8595-E37BA79CDC0D}"/>
    <cellStyle name="Normal 3 2" xfId="5" xr:uid="{CFF5518D-FE18-E840-9BA0-D67A18FE78F7}"/>
    <cellStyle name="Normal 5 2" xfId="7" xr:uid="{FCE38435-8AE8-424F-8030-A3EA1317DECE}"/>
    <cellStyle name="Per cent 2" xfId="3" xr:uid="{BA83A8F3-2B34-684F-98A3-D2DD02F13A3B}"/>
    <cellStyle name="Smart Subtitle 1" xfId="2" xr:uid="{3A8AA9D0-ABBF-AC49-A70F-9265A02355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solidFill>
                  <a:srgbClr val="002060"/>
                </a:solidFill>
              </a:rPr>
              <a:t>Enterprise Value: Scenario 1</a:t>
            </a:r>
            <a:endParaRPr lang="en-US">
              <a:solidFill>
                <a:srgbClr val="002060"/>
              </a:solidFill>
            </a:endParaRPr>
          </a:p>
        </c:rich>
      </c:tx>
      <c:layout>
        <c:manualLayout>
          <c:xMode val="edge"/>
          <c:yMode val="edge"/>
          <c:x val="2.9312686889069208E-2"/>
          <c:y val="3.3402944719441566E-2"/>
        </c:manualLayout>
      </c:layout>
      <c:overlay val="1"/>
    </c:title>
    <c:autoTitleDeleted val="0"/>
    <c:plotArea>
      <c:layout>
        <c:manualLayout>
          <c:layoutTarget val="inner"/>
          <c:xMode val="edge"/>
          <c:yMode val="edge"/>
          <c:x val="0.12832203773971149"/>
          <c:y val="0.16827588202185131"/>
          <c:w val="0.47231870389460373"/>
          <c:h val="0.70798549558221946"/>
        </c:manualLayout>
      </c:layout>
      <c:doughnutChart>
        <c:varyColors val="1"/>
        <c:ser>
          <c:idx val="0"/>
          <c:order val="0"/>
          <c:dPt>
            <c:idx val="1"/>
            <c:bubble3D val="0"/>
            <c:spPr>
              <a:solidFill>
                <a:srgbClr val="002060"/>
              </a:solidFill>
            </c:spPr>
            <c:extLst>
              <c:ext xmlns:c16="http://schemas.microsoft.com/office/drawing/2014/chart" uri="{C3380CC4-5D6E-409C-BE32-E72D297353CC}">
                <c16:uniqueId val="{00000001-A790-2449-8FC0-804CABE966D0}"/>
              </c:ext>
            </c:extLst>
          </c:dPt>
          <c:dLbls>
            <c:dLbl>
              <c:idx val="0"/>
              <c:layout>
                <c:manualLayout>
                  <c:x val="-1.4856081708449397E-2"/>
                  <c:y val="-3.8878046813218797E-2"/>
                </c:manualLayout>
              </c:layout>
              <c:tx>
                <c:rich>
                  <a:bodyPr/>
                  <a:lstStyle/>
                  <a:p>
                    <a:r>
                      <a:rPr lang="en-US"/>
                      <a:t>30%</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A790-2449-8FC0-804CABE966D0}"/>
                </c:ext>
              </c:extLst>
            </c:dLbl>
            <c:dLbl>
              <c:idx val="1"/>
              <c:layout>
                <c:manualLayout>
                  <c:x val="3.9170181466448663E-2"/>
                  <c:y val="3.8416893298194491E-2"/>
                </c:manualLayout>
              </c:layout>
              <c:tx>
                <c:rich>
                  <a:bodyPr/>
                  <a:lstStyle/>
                  <a:p>
                    <a:r>
                      <a:rPr lang="en-US"/>
                      <a:t>70%</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A790-2449-8FC0-804CABE966D0}"/>
                </c:ext>
              </c:extLst>
            </c:dLbl>
            <c:numFmt formatCode="0.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CFs in Forecast period</c:v>
              </c:pt>
              <c:pt idx="1">
                <c:v>Continuing Value</c:v>
              </c:pt>
            </c:strLit>
          </c:cat>
          <c:val>
            <c:numLit>
              <c:formatCode>General</c:formatCode>
              <c:ptCount val="2"/>
              <c:pt idx="0">
                <c:v>0.30085866160702229</c:v>
              </c:pt>
              <c:pt idx="1">
                <c:v>0.69914133839297776</c:v>
              </c:pt>
            </c:numLit>
          </c:val>
          <c:extLst>
            <c:ext xmlns:c16="http://schemas.microsoft.com/office/drawing/2014/chart" uri="{C3380CC4-5D6E-409C-BE32-E72D297353CC}">
              <c16:uniqueId val="{00000003-A790-2449-8FC0-804CABE966D0}"/>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64373676235707755"/>
          <c:y val="0.36810746454991944"/>
          <c:w val="0.3322392211930919"/>
          <c:h val="0.26378507090016112"/>
        </c:manualLayout>
      </c:layout>
      <c:overlay val="0"/>
      <c:txPr>
        <a:bodyPr/>
        <a:lstStyle/>
        <a:p>
          <a:pPr rtl="0">
            <a:defRPr/>
          </a:pPr>
          <a:endParaRPr lang="en-US"/>
        </a:p>
      </c:txPr>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solidFill>
                  <a:srgbClr val="002060"/>
                </a:solidFill>
              </a:rPr>
              <a:t>Enterprise Value: Scenario 2</a:t>
            </a:r>
            <a:endParaRPr lang="en-US">
              <a:solidFill>
                <a:srgbClr val="002060"/>
              </a:solidFill>
            </a:endParaRPr>
          </a:p>
        </c:rich>
      </c:tx>
      <c:layout>
        <c:manualLayout>
          <c:xMode val="edge"/>
          <c:yMode val="edge"/>
          <c:x val="2.9312686889069208E-2"/>
          <c:y val="3.3402944719441566E-2"/>
        </c:manualLayout>
      </c:layout>
      <c:overlay val="1"/>
    </c:title>
    <c:autoTitleDeleted val="0"/>
    <c:plotArea>
      <c:layout>
        <c:manualLayout>
          <c:layoutTarget val="inner"/>
          <c:xMode val="edge"/>
          <c:yMode val="edge"/>
          <c:x val="0.12832203773971149"/>
          <c:y val="0.16827588202185131"/>
          <c:w val="0.47231870389460373"/>
          <c:h val="0.70798549558221946"/>
        </c:manualLayout>
      </c:layout>
      <c:doughnutChart>
        <c:varyColors val="1"/>
        <c:ser>
          <c:idx val="0"/>
          <c:order val="0"/>
          <c:dPt>
            <c:idx val="1"/>
            <c:bubble3D val="0"/>
            <c:spPr>
              <a:solidFill>
                <a:srgbClr val="002060"/>
              </a:solidFill>
            </c:spPr>
            <c:extLst>
              <c:ext xmlns:c16="http://schemas.microsoft.com/office/drawing/2014/chart" uri="{C3380CC4-5D6E-409C-BE32-E72D297353CC}">
                <c16:uniqueId val="{00000001-01E4-C949-9D31-771349C64BBC}"/>
              </c:ext>
            </c:extLst>
          </c:dPt>
          <c:dLbls>
            <c:dLbl>
              <c:idx val="0"/>
              <c:layout>
                <c:manualLayout>
                  <c:x val="-1.4856081708449397E-2"/>
                  <c:y val="-3.8878046813218797E-2"/>
                </c:manualLayout>
              </c:layout>
              <c:tx>
                <c:rich>
                  <a:bodyPr/>
                  <a:lstStyle/>
                  <a:p>
                    <a:r>
                      <a:rPr lang="en-US"/>
                      <a:t>34%</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01E4-C949-9D31-771349C64BBC}"/>
                </c:ext>
              </c:extLst>
            </c:dLbl>
            <c:dLbl>
              <c:idx val="1"/>
              <c:layout>
                <c:manualLayout>
                  <c:x val="3.3426183844011144E-2"/>
                  <c:y val="3.284973584495423E-2"/>
                </c:manualLayout>
              </c:layout>
              <c:tx>
                <c:rich>
                  <a:bodyPr/>
                  <a:lstStyle/>
                  <a:p>
                    <a:r>
                      <a:rPr lang="en-US"/>
                      <a:t>66%</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01E4-C949-9D31-771349C64BBC}"/>
                </c:ext>
              </c:extLst>
            </c:dLbl>
            <c:numFmt formatCode="0.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CFs in Forecast period</c:v>
              </c:pt>
              <c:pt idx="1">
                <c:v>Continuing Value</c:v>
              </c:pt>
            </c:strLit>
          </c:cat>
          <c:val>
            <c:numLit>
              <c:formatCode>General</c:formatCode>
              <c:ptCount val="2"/>
              <c:pt idx="0">
                <c:v>0.31591165336933186</c:v>
              </c:pt>
              <c:pt idx="1">
                <c:v>0.6840883466306682</c:v>
              </c:pt>
            </c:numLit>
          </c:val>
          <c:extLst>
            <c:ext xmlns:c16="http://schemas.microsoft.com/office/drawing/2014/chart" uri="{C3380CC4-5D6E-409C-BE32-E72D297353CC}">
              <c16:uniqueId val="{00000003-01E4-C949-9D31-771349C64BBC}"/>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rtl="0">
            <a:defRPr/>
          </a:pPr>
          <a:endParaRPr lang="en-US"/>
        </a:p>
      </c:txPr>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solidFill>
                  <a:srgbClr val="002060"/>
                </a:solidFill>
              </a:rPr>
              <a:t>Enterprise Value: Scenario 3</a:t>
            </a:r>
            <a:endParaRPr lang="en-US">
              <a:solidFill>
                <a:srgbClr val="002060"/>
              </a:solidFill>
            </a:endParaRPr>
          </a:p>
        </c:rich>
      </c:tx>
      <c:layout>
        <c:manualLayout>
          <c:xMode val="edge"/>
          <c:yMode val="edge"/>
          <c:x val="2.9312686889069208E-2"/>
          <c:y val="3.3402944719441566E-2"/>
        </c:manualLayout>
      </c:layout>
      <c:overlay val="1"/>
    </c:title>
    <c:autoTitleDeleted val="0"/>
    <c:plotArea>
      <c:layout>
        <c:manualLayout>
          <c:layoutTarget val="inner"/>
          <c:xMode val="edge"/>
          <c:yMode val="edge"/>
          <c:x val="0.12832203773971149"/>
          <c:y val="0.16827588202185131"/>
          <c:w val="0.47231870389460373"/>
          <c:h val="0.70798549558221946"/>
        </c:manualLayout>
      </c:layout>
      <c:doughnutChart>
        <c:varyColors val="1"/>
        <c:ser>
          <c:idx val="0"/>
          <c:order val="0"/>
          <c:dPt>
            <c:idx val="1"/>
            <c:bubble3D val="0"/>
            <c:spPr>
              <a:solidFill>
                <a:srgbClr val="002060"/>
              </a:solidFill>
            </c:spPr>
            <c:extLst>
              <c:ext xmlns:c16="http://schemas.microsoft.com/office/drawing/2014/chart" uri="{C3380CC4-5D6E-409C-BE32-E72D297353CC}">
                <c16:uniqueId val="{00000001-7323-D24F-BFFC-8A909957E331}"/>
              </c:ext>
            </c:extLst>
          </c:dPt>
          <c:dLbls>
            <c:dLbl>
              <c:idx val="0"/>
              <c:layout>
                <c:manualLayout>
                  <c:x val="-1.4856081708449397E-2"/>
                  <c:y val="-3.8878046813218797E-2"/>
                </c:manualLayout>
              </c:layout>
              <c:tx>
                <c:rich>
                  <a:bodyPr/>
                  <a:lstStyle/>
                  <a:p>
                    <a:r>
                      <a:rPr lang="en-US"/>
                      <a:t>39%</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7323-D24F-BFFC-8A909957E331}"/>
                </c:ext>
              </c:extLst>
            </c:dLbl>
            <c:dLbl>
              <c:idx val="1"/>
              <c:layout>
                <c:manualLayout>
                  <c:x val="4.456824512534819E-2"/>
                  <c:y val="6.6252680564395788E-2"/>
                </c:manualLayout>
              </c:layout>
              <c:tx>
                <c:rich>
                  <a:bodyPr/>
                  <a:lstStyle/>
                  <a:p>
                    <a:r>
                      <a:rPr lang="en-US"/>
                      <a:t>61%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7323-D24F-BFFC-8A909957E331}"/>
                </c:ext>
              </c:extLst>
            </c:dLbl>
            <c:numFmt formatCode="0.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CFs in Forecast period</c:v>
              </c:pt>
              <c:pt idx="1">
                <c:v>Continuing Value</c:v>
              </c:pt>
            </c:strLit>
          </c:cat>
          <c:val>
            <c:numLit>
              <c:formatCode>General</c:formatCode>
              <c:ptCount val="2"/>
              <c:pt idx="0">
                <c:v>0.33470503116615574</c:v>
              </c:pt>
              <c:pt idx="1">
                <c:v>0.6652949688338442</c:v>
              </c:pt>
            </c:numLit>
          </c:val>
          <c:extLst>
            <c:ext xmlns:c16="http://schemas.microsoft.com/office/drawing/2014/chart" uri="{C3380CC4-5D6E-409C-BE32-E72D297353CC}">
              <c16:uniqueId val="{00000003-7323-D24F-BFFC-8A909957E331}"/>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rtl="0">
            <a:defRPr/>
          </a:pPr>
          <a:endParaRPr lang="en-US"/>
        </a:p>
      </c:txPr>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'Revenues&amp;Ebitda'!$B$4</c:f>
              <c:strCache>
                <c:ptCount val="1"/>
                <c:pt idx="0">
                  <c:v>Revenues</c:v>
                </c:pt>
              </c:strCache>
            </c:strRef>
          </c:tx>
          <c:spPr>
            <a:solidFill>
              <a:srgbClr val="002060"/>
            </a:solidFill>
          </c:spPr>
          <c:invertIfNegative val="0"/>
          <c:dPt>
            <c:idx val="4"/>
            <c:invertIfNegative val="0"/>
            <c:bubble3D val="0"/>
            <c:spPr>
              <a:solidFill>
                <a:schemeClr val="accent1">
                  <a:lumMod val="75000"/>
                </a:schemeClr>
              </a:solidFill>
            </c:spPr>
            <c:extLst>
              <c:ext xmlns:c16="http://schemas.microsoft.com/office/drawing/2014/chart" uri="{C3380CC4-5D6E-409C-BE32-E72D297353CC}">
                <c16:uniqueId val="{00000001-4757-F747-858F-4F036593F080}"/>
              </c:ext>
            </c:extLst>
          </c:dPt>
          <c:dPt>
            <c:idx val="5"/>
            <c:invertIfNegative val="0"/>
            <c:bubble3D val="0"/>
            <c:spPr>
              <a:solidFill>
                <a:schemeClr val="accent1">
                  <a:lumMod val="75000"/>
                </a:schemeClr>
              </a:solidFill>
            </c:spPr>
            <c:extLst>
              <c:ext xmlns:c16="http://schemas.microsoft.com/office/drawing/2014/chart" uri="{C3380CC4-5D6E-409C-BE32-E72D297353CC}">
                <c16:uniqueId val="{00000003-4757-F747-858F-4F036593F080}"/>
              </c:ext>
            </c:extLst>
          </c:dPt>
          <c:dPt>
            <c:idx val="6"/>
            <c:invertIfNegative val="0"/>
            <c:bubble3D val="0"/>
            <c:spPr>
              <a:solidFill>
                <a:schemeClr val="accent1">
                  <a:lumMod val="75000"/>
                </a:schemeClr>
              </a:solidFill>
            </c:spPr>
            <c:extLst>
              <c:ext xmlns:c16="http://schemas.microsoft.com/office/drawing/2014/chart" uri="{C3380CC4-5D6E-409C-BE32-E72D297353CC}">
                <c16:uniqueId val="{00000005-4757-F747-858F-4F036593F080}"/>
              </c:ext>
            </c:extLst>
          </c:dPt>
          <c:dPt>
            <c:idx val="7"/>
            <c:invertIfNegative val="0"/>
            <c:bubble3D val="0"/>
            <c:spPr>
              <a:solidFill>
                <a:schemeClr val="accent1">
                  <a:lumMod val="75000"/>
                </a:schemeClr>
              </a:solidFill>
            </c:spPr>
            <c:extLst>
              <c:ext xmlns:c16="http://schemas.microsoft.com/office/drawing/2014/chart" uri="{C3380CC4-5D6E-409C-BE32-E72D297353CC}">
                <c16:uniqueId val="{00000007-4757-F747-858F-4F036593F080}"/>
              </c:ext>
            </c:extLst>
          </c:dPt>
          <c:dPt>
            <c:idx val="8"/>
            <c:invertIfNegative val="0"/>
            <c:bubble3D val="0"/>
            <c:spPr>
              <a:solidFill>
                <a:schemeClr val="accent1">
                  <a:lumMod val="75000"/>
                </a:schemeClr>
              </a:solidFill>
            </c:spPr>
            <c:extLst>
              <c:ext xmlns:c16="http://schemas.microsoft.com/office/drawing/2014/chart" uri="{C3380CC4-5D6E-409C-BE32-E72D297353CC}">
                <c16:uniqueId val="{00000009-4757-F747-858F-4F036593F080}"/>
              </c:ext>
            </c:extLst>
          </c:dPt>
          <c:dLbls>
            <c:spPr>
              <a:solidFill>
                <a:schemeClr val="bg1">
                  <a:lumMod val="85000"/>
                </a:schemeClr>
              </a:solidFill>
            </c:spPr>
            <c:txPr>
              <a:bodyPr/>
              <a:lstStyle/>
              <a:p>
                <a:pPr>
                  <a:defRPr sz="700"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'Revenues&amp;Ebitda'!$C$3:$K$3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'Revenues&amp;Ebitda'!$C$4:$K$4</c:f>
              <c:numCache>
                <c:formatCode>_(* #,##0_);_(* \(#,##0\);_(* "-"??_);_(@_)</c:formatCode>
                <c:ptCount val="9"/>
                <c:pt idx="0">
                  <c:v>2266373</c:v>
                </c:pt>
                <c:pt idx="1">
                  <c:v>1856373</c:v>
                </c:pt>
                <c:pt idx="2">
                  <c:v>1801674</c:v>
                </c:pt>
                <c:pt idx="3">
                  <c:v>0</c:v>
                </c:pt>
                <c:pt idx="4">
                  <c:v>1891757.7000000002</c:v>
                </c:pt>
                <c:pt idx="5">
                  <c:v>1986345.5850000002</c:v>
                </c:pt>
                <c:pt idx="6">
                  <c:v>2085662.8642500003</c:v>
                </c:pt>
                <c:pt idx="7">
                  <c:v>2189946.0074625006</c:v>
                </c:pt>
                <c:pt idx="8">
                  <c:v>2299443.307835626</c:v>
                </c:pt>
              </c:numCache>
            </c:numRef>
          </c:val>
          <c:extLst>
            <c:ext xmlns:c16="http://schemas.microsoft.com/office/drawing/2014/chart" uri="{C3380CC4-5D6E-409C-BE32-E72D297353CC}">
              <c16:uniqueId val="{0000000A-4757-F747-858F-4F036593F080}"/>
            </c:ext>
          </c:extLst>
        </c:ser>
        <c:dLbls>
          <c:showLegendKey val="0"/>
          <c:showVal val="0"/>
          <c:showCatName val="0"/>
          <c:showSerName val="0"/>
          <c:showPercent val="0"/>
          <c:showBubbleSize val="0"/>
        </c:dLbls>
        <c:gapWidth val="50"/>
        <c:overlap val="100"/>
        <c:axId val="104562048"/>
        <c:axId val="104576128"/>
      </c:barChart>
      <c:lineChart>
        <c:grouping val="standard"/>
        <c:varyColors val="0"/>
        <c:ser>
          <c:idx val="1"/>
          <c:order val="1"/>
          <c:tx>
            <c:strRef>
              <c:f>'Revenues&amp;Ebitda'!$B$6</c:f>
              <c:strCache>
                <c:ptCount val="1"/>
                <c:pt idx="0">
                  <c:v>EBITDA%</c:v>
                </c:pt>
              </c:strCache>
            </c:strRef>
          </c:tx>
          <c:marker>
            <c:symbol val="none"/>
          </c:marker>
          <c:dLbls>
            <c:spPr>
              <a:solidFill>
                <a:schemeClr val="accent2">
                  <a:lumMod val="60000"/>
                  <a:lumOff val="40000"/>
                </a:schemeClr>
              </a:solidFill>
            </c:spPr>
            <c:txPr>
              <a:bodyPr/>
              <a:lstStyle/>
              <a:p>
                <a:pPr>
                  <a:defRPr sz="700" b="1">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'Revenues&amp;Ebitda'!$C$3:$K$3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'Revenues&amp;Ebitda'!$C$6:$K$6</c:f>
              <c:numCache>
                <c:formatCode>0.0%</c:formatCode>
                <c:ptCount val="9"/>
                <c:pt idx="0">
                  <c:v>0.54523019820656171</c:v>
                </c:pt>
                <c:pt idx="1">
                  <c:v>0.5200070244503664</c:v>
                </c:pt>
                <c:pt idx="2">
                  <c:v>0.48723242939621708</c:v>
                </c:pt>
                <c:pt idx="4">
                  <c:v>0.6</c:v>
                </c:pt>
                <c:pt idx="5">
                  <c:v>0.60000000000000009</c:v>
                </c:pt>
                <c:pt idx="6">
                  <c:v>0.60000000000000009</c:v>
                </c:pt>
                <c:pt idx="7">
                  <c:v>0.6</c:v>
                </c:pt>
                <c:pt idx="8">
                  <c:v>0.6</c:v>
                </c:pt>
              </c:numCache>
            </c:numRef>
          </c:val>
          <c:smooth val="1"/>
          <c:extLst>
            <c:ext xmlns:c16="http://schemas.microsoft.com/office/drawing/2014/chart" uri="{C3380CC4-5D6E-409C-BE32-E72D297353CC}">
              <c16:uniqueId val="{0000000B-4757-F747-858F-4F036593F080}"/>
            </c:ext>
          </c:extLst>
        </c:ser>
        <c:dLbls>
          <c:showLegendKey val="0"/>
          <c:showVal val="0"/>
          <c:showCatName val="0"/>
          <c:showSerName val="0"/>
          <c:showPercent val="0"/>
          <c:showBubbleSize val="0"/>
        </c:dLbls>
        <c:marker val="1"/>
        <c:smooth val="0"/>
        <c:axId val="104579840"/>
        <c:axId val="104578048"/>
      </c:lineChart>
      <c:catAx>
        <c:axId val="104562048"/>
        <c:scaling>
          <c:orientation val="minMax"/>
        </c:scaling>
        <c:delete val="0"/>
        <c:axPos val="b"/>
        <c:numFmt formatCode="General" sourceLinked="0"/>
        <c:majorTickMark val="out"/>
        <c:minorTickMark val="none"/>
        <c:tickLblPos val="nextTo"/>
        <c:crossAx val="104576128"/>
        <c:crosses val="autoZero"/>
        <c:auto val="1"/>
        <c:lblAlgn val="ctr"/>
        <c:lblOffset val="100"/>
        <c:noMultiLvlLbl val="0"/>
      </c:catAx>
      <c:valAx>
        <c:axId val="104576128"/>
        <c:scaling>
          <c:orientation val="minMax"/>
          <c:max val="3000000"/>
          <c:min val="0"/>
        </c:scaling>
        <c:delete val="0"/>
        <c:axPos val="l"/>
        <c:majorGridlines>
          <c:spPr>
            <a:ln>
              <a:solidFill>
                <a:schemeClr val="bg1">
                  <a:lumMod val="65000"/>
                  <a:alpha val="30000"/>
                </a:schemeClr>
              </a:solidFill>
            </a:ln>
          </c:spPr>
        </c:majorGridlines>
        <c:title>
          <c:tx>
            <c:rich>
              <a:bodyPr rot="-5400000" vert="horz"/>
              <a:lstStyle/>
              <a:p>
                <a:pPr>
                  <a:defRPr b="0"/>
                </a:pPr>
                <a:r>
                  <a:rPr lang="en-US" b="0"/>
                  <a:t>SAR in millions</a:t>
                </a:r>
              </a:p>
            </c:rich>
          </c:tx>
          <c:overlay val="0"/>
        </c:title>
        <c:numFmt formatCode="_(* #,##0_);_(* \(#,##0\);_(* &quot;-&quot;??_);_(@_)" sourceLinked="1"/>
        <c:majorTickMark val="out"/>
        <c:minorTickMark val="none"/>
        <c:tickLblPos val="nextTo"/>
        <c:spPr>
          <a:noFill/>
          <a:ln>
            <a:noFill/>
          </a:ln>
        </c:spPr>
        <c:crossAx val="104562048"/>
        <c:crosses val="autoZero"/>
        <c:crossBetween val="between"/>
        <c:majorUnit val="1000000"/>
        <c:minorUnit val="500000"/>
      </c:valAx>
      <c:valAx>
        <c:axId val="104578048"/>
        <c:scaling>
          <c:orientation val="minMax"/>
          <c:max val="0.8"/>
          <c:min val="5.000000000000001E-2"/>
        </c:scaling>
        <c:delete val="0"/>
        <c:axPos val="r"/>
        <c:numFmt formatCode="0.0%" sourceLinked="1"/>
        <c:majorTickMark val="out"/>
        <c:minorTickMark val="none"/>
        <c:tickLblPos val="nextTo"/>
        <c:crossAx val="104579840"/>
        <c:crosses val="max"/>
        <c:crossBetween val="between"/>
        <c:majorUnit val="0.2"/>
      </c:valAx>
      <c:catAx>
        <c:axId val="104579840"/>
        <c:scaling>
          <c:orientation val="minMax"/>
        </c:scaling>
        <c:delete val="1"/>
        <c:axPos val="b"/>
        <c:numFmt formatCode="General" sourceLinked="1"/>
        <c:majorTickMark val="out"/>
        <c:minorTickMark val="none"/>
        <c:tickLblPos val="nextTo"/>
        <c:crossAx val="104578048"/>
        <c:crosses val="autoZero"/>
        <c:auto val="1"/>
        <c:lblAlgn val="ctr"/>
        <c:lblOffset val="100"/>
        <c:noMultiLvlLbl val="0"/>
      </c:catAx>
    </c:plotArea>
    <c:legend>
      <c:legendPos val="b"/>
      <c:overlay val="0"/>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ndard"/>
        <c:varyColors val="0"/>
        <c:ser>
          <c:idx val="0"/>
          <c:order val="0"/>
          <c:tx>
            <c:strRef>
              <c:f>'Cash flows'!$B$4</c:f>
              <c:strCache>
                <c:ptCount val="1"/>
                <c:pt idx="0">
                  <c:v>UFCF </c:v>
                </c:pt>
              </c:strCache>
            </c:strRef>
          </c:tx>
          <c:spPr>
            <a:solidFill>
              <a:srgbClr val="002060"/>
            </a:solidFill>
          </c:spPr>
          <c:cat>
            <c:strRef>
              <c:f>'Cash flows'!$C$3:$G$3</c:f>
              <c:strCache>
                <c:ptCount val="5"/>
                <c:pt idx="0">
                  <c:v>FY 2025
Forecast </c:v>
                </c:pt>
                <c:pt idx="1">
                  <c:v>FY 2026
Forecast </c:v>
                </c:pt>
                <c:pt idx="2">
                  <c:v>FY 2027
Forecast </c:v>
                </c:pt>
                <c:pt idx="3">
                  <c:v>FY 2028
Forecast </c:v>
                </c:pt>
                <c:pt idx="4">
                  <c:v>FY 2029
Forecast </c:v>
                </c:pt>
              </c:strCache>
            </c:strRef>
          </c:cat>
          <c:val>
            <c:numRef>
              <c:f>'Cash flows'!$C$4:$G$4</c:f>
              <c:numCache>
                <c:formatCode>_(* #,##0_);_(* \(#,##0\);_(* "-"?_);@_)</c:formatCode>
                <c:ptCount val="5"/>
                <c:pt idx="0">
                  <c:v>484759.65540706855</c:v>
                </c:pt>
                <c:pt idx="1">
                  <c:v>457908.93280811375</c:v>
                </c:pt>
                <c:pt idx="2">
                  <c:v>468532.34262994007</c:v>
                </c:pt>
                <c:pt idx="3">
                  <c:v>478286.24353317148</c:v>
                </c:pt>
                <c:pt idx="4">
                  <c:v>486969.02490804141</c:v>
                </c:pt>
              </c:numCache>
            </c:numRef>
          </c:val>
          <c:extLst>
            <c:ext xmlns:c16="http://schemas.microsoft.com/office/drawing/2014/chart" uri="{C3380CC4-5D6E-409C-BE32-E72D297353CC}">
              <c16:uniqueId val="{00000000-C293-8D49-BBB9-5CCC8F88ACE1}"/>
            </c:ext>
          </c:extLst>
        </c:ser>
        <c:ser>
          <c:idx val="1"/>
          <c:order val="1"/>
          <c:tx>
            <c:strRef>
              <c:f>'Cash flows'!$B$5</c:f>
              <c:strCache>
                <c:ptCount val="1"/>
                <c:pt idx="0">
                  <c:v>Present value of UFCF </c:v>
                </c:pt>
              </c:strCache>
            </c:strRef>
          </c:tx>
          <c:spPr>
            <a:solidFill>
              <a:schemeClr val="bg1">
                <a:lumMod val="75000"/>
              </a:schemeClr>
            </a:solidFill>
          </c:spPr>
          <c:cat>
            <c:strRef>
              <c:f>'Cash flows'!$C$3:$G$3</c:f>
              <c:strCache>
                <c:ptCount val="5"/>
                <c:pt idx="0">
                  <c:v>FY 2025
Forecast </c:v>
                </c:pt>
                <c:pt idx="1">
                  <c:v>FY 2026
Forecast </c:v>
                </c:pt>
                <c:pt idx="2">
                  <c:v>FY 2027
Forecast </c:v>
                </c:pt>
                <c:pt idx="3">
                  <c:v>FY 2028
Forecast </c:v>
                </c:pt>
                <c:pt idx="4">
                  <c:v>FY 2029
Forecast </c:v>
                </c:pt>
              </c:strCache>
            </c:strRef>
          </c:cat>
          <c:val>
            <c:numRef>
              <c:f>'Cash flows'!$C$5:$G$5</c:f>
              <c:numCache>
                <c:formatCode>_(* #,##0_);_(* \(#,##0\);_(* "-"?_);@_)</c:formatCode>
                <c:ptCount val="5"/>
                <c:pt idx="0">
                  <c:v>444528.28579262004</c:v>
                </c:pt>
                <c:pt idx="1">
                  <c:v>385056.96300555125</c:v>
                </c:pt>
                <c:pt idx="2">
                  <c:v>361292.02361516259</c:v>
                </c:pt>
                <c:pt idx="3">
                  <c:v>338204.68602467183</c:v>
                </c:pt>
                <c:pt idx="4">
                  <c:v>315766.46197613183</c:v>
                </c:pt>
              </c:numCache>
            </c:numRef>
          </c:val>
          <c:extLst>
            <c:ext xmlns:c16="http://schemas.microsoft.com/office/drawing/2014/chart" uri="{C3380CC4-5D6E-409C-BE32-E72D297353CC}">
              <c16:uniqueId val="{00000001-C293-8D49-BBB9-5CCC8F88ACE1}"/>
            </c:ext>
          </c:extLst>
        </c:ser>
        <c:dLbls>
          <c:showLegendKey val="0"/>
          <c:showVal val="0"/>
          <c:showCatName val="0"/>
          <c:showSerName val="0"/>
          <c:showPercent val="0"/>
          <c:showBubbleSize val="0"/>
        </c:dLbls>
        <c:axId val="104945920"/>
        <c:axId val="104972288"/>
      </c:areaChart>
      <c:catAx>
        <c:axId val="104945920"/>
        <c:scaling>
          <c:orientation val="minMax"/>
        </c:scaling>
        <c:delete val="0"/>
        <c:axPos val="b"/>
        <c:numFmt formatCode="General" sourceLinked="0"/>
        <c:majorTickMark val="out"/>
        <c:minorTickMark val="none"/>
        <c:tickLblPos val="nextTo"/>
        <c:crossAx val="104972288"/>
        <c:crosses val="autoZero"/>
        <c:auto val="1"/>
        <c:lblAlgn val="ctr"/>
        <c:lblOffset val="100"/>
        <c:noMultiLvlLbl val="0"/>
      </c:catAx>
      <c:valAx>
        <c:axId val="104972288"/>
        <c:scaling>
          <c:orientation val="minMax"/>
          <c:max val="500000"/>
          <c:min val="0"/>
        </c:scaling>
        <c:delete val="0"/>
        <c:axPos val="l"/>
        <c:majorGridlines>
          <c:spPr>
            <a:ln>
              <a:solidFill>
                <a:schemeClr val="bg1">
                  <a:lumMod val="65000"/>
                  <a:alpha val="28000"/>
                </a:schemeClr>
              </a:solidFill>
            </a:ln>
          </c:spPr>
        </c:majorGridlines>
        <c:title>
          <c:tx>
            <c:rich>
              <a:bodyPr rot="-5400000" vert="horz"/>
              <a:lstStyle/>
              <a:p>
                <a:pPr>
                  <a:defRPr/>
                </a:pPr>
                <a:r>
                  <a:rPr lang="en-US" b="0"/>
                  <a:t>SAR</a:t>
                </a:r>
                <a:r>
                  <a:rPr lang="en-US" b="0" baseline="0"/>
                  <a:t> in millions</a:t>
                </a:r>
              </a:p>
            </c:rich>
          </c:tx>
          <c:overlay val="0"/>
        </c:title>
        <c:numFmt formatCode="_(* #,##0_);_(* \(#,##0\);_(* &quot;-&quot;?_);@_)" sourceLinked="1"/>
        <c:majorTickMark val="out"/>
        <c:minorTickMark val="none"/>
        <c:tickLblPos val="nextTo"/>
        <c:crossAx val="104945920"/>
        <c:crosses val="autoZero"/>
        <c:crossBetween val="midCat"/>
        <c:majorUnit val="200000"/>
      </c:valAx>
    </c:plotArea>
    <c:legend>
      <c:legendPos val="b"/>
      <c:overlay val="0"/>
    </c:legend>
    <c:plotVisOnly val="1"/>
    <c:dispBlanksAs val="zero"/>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invertIfNegative val="0"/>
          <c:dPt>
            <c:idx val="0"/>
            <c:invertIfNegative val="0"/>
            <c:bubble3D val="0"/>
            <c:spPr>
              <a:solidFill>
                <a:srgbClr val="002060"/>
              </a:solidFill>
            </c:spPr>
            <c:extLst>
              <c:ext xmlns:c16="http://schemas.microsoft.com/office/drawing/2014/chart" uri="{C3380CC4-5D6E-409C-BE32-E72D297353CC}">
                <c16:uniqueId val="{00000001-414E-924C-AE15-C233141AFD2F}"/>
              </c:ext>
            </c:extLst>
          </c:dPt>
          <c:dPt>
            <c:idx val="1"/>
            <c:invertIfNegative val="0"/>
            <c:bubble3D val="0"/>
            <c:spPr>
              <a:noFill/>
            </c:spPr>
            <c:extLst>
              <c:ext xmlns:c16="http://schemas.microsoft.com/office/drawing/2014/chart" uri="{C3380CC4-5D6E-409C-BE32-E72D297353CC}">
                <c16:uniqueId val="{00000003-414E-924C-AE15-C233141AFD2F}"/>
              </c:ext>
            </c:extLst>
          </c:dPt>
          <c:dPt>
            <c:idx val="2"/>
            <c:invertIfNegative val="0"/>
            <c:bubble3D val="0"/>
            <c:spPr>
              <a:noFill/>
            </c:spPr>
            <c:extLst>
              <c:ext xmlns:c16="http://schemas.microsoft.com/office/drawing/2014/chart" uri="{C3380CC4-5D6E-409C-BE32-E72D297353CC}">
                <c16:uniqueId val="{00000005-414E-924C-AE15-C233141AFD2F}"/>
              </c:ext>
            </c:extLst>
          </c:dPt>
          <c:dPt>
            <c:idx val="3"/>
            <c:invertIfNegative val="0"/>
            <c:bubble3D val="0"/>
            <c:spPr>
              <a:noFill/>
            </c:spPr>
            <c:extLst>
              <c:ext xmlns:c16="http://schemas.microsoft.com/office/drawing/2014/chart" uri="{C3380CC4-5D6E-409C-BE32-E72D297353CC}">
                <c16:uniqueId val="{00000007-414E-924C-AE15-C233141AFD2F}"/>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14E-924C-AE15-C233141AFD2F}"/>
                </c:ext>
              </c:extLst>
            </c:dLbl>
            <c:numFmt formatCode="#,##0" sourceLinked="0"/>
            <c:spPr>
              <a:noFill/>
              <a:ln>
                <a:noFill/>
              </a:ln>
              <a:effectLst/>
            </c:spPr>
            <c:txPr>
              <a:bodyPr/>
              <a:lstStyle/>
              <a:p>
                <a:pPr>
                  <a:defRPr b="1">
                    <a:solidFill>
                      <a:schemeClr val="bg1"/>
                    </a:solidFill>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'Ebitda bridge'!$K$4:$O$4</c:f>
              <c:strCache>
                <c:ptCount val="5"/>
                <c:pt idx="0">
                  <c:v>EBITDA FY24</c:v>
                </c:pt>
                <c:pt idx="1">
                  <c:v>Delta Revenues</c:v>
                </c:pt>
                <c:pt idx="2">
                  <c:v>Delta Operating costs</c:v>
                </c:pt>
                <c:pt idx="3">
                  <c:v>Delta Operating overhead</c:v>
                </c:pt>
                <c:pt idx="4">
                  <c:v>EBITDA FY25</c:v>
                </c:pt>
              </c:strCache>
            </c:strRef>
          </c:cat>
          <c:val>
            <c:numRef>
              <c:f>'Ebitda bridge'!$K$2:$O$2</c:f>
              <c:numCache>
                <c:formatCode>0.0</c:formatCode>
                <c:ptCount val="5"/>
                <c:pt idx="0">
                  <c:v>877834</c:v>
                </c:pt>
                <c:pt idx="1">
                  <c:v>877834</c:v>
                </c:pt>
                <c:pt idx="2">
                  <c:v>1135498.2935000001</c:v>
                </c:pt>
                <c:pt idx="3">
                  <c:v>1135498.2935000001</c:v>
                </c:pt>
              </c:numCache>
            </c:numRef>
          </c:val>
          <c:extLst>
            <c:ext xmlns:c16="http://schemas.microsoft.com/office/drawing/2014/chart" uri="{C3380CC4-5D6E-409C-BE32-E72D297353CC}">
              <c16:uniqueId val="{00000008-414E-924C-AE15-C233141AFD2F}"/>
            </c:ext>
          </c:extLst>
        </c:ser>
        <c:ser>
          <c:idx val="1"/>
          <c:order val="1"/>
          <c:invertIfNegative val="0"/>
          <c:dPt>
            <c:idx val="1"/>
            <c:invertIfNegative val="0"/>
            <c:bubble3D val="0"/>
            <c:spPr>
              <a:solidFill>
                <a:srgbClr val="0070C0"/>
              </a:solidFill>
            </c:spPr>
            <c:extLst>
              <c:ext xmlns:c16="http://schemas.microsoft.com/office/drawing/2014/chart" uri="{C3380CC4-5D6E-409C-BE32-E72D297353CC}">
                <c16:uniqueId val="{0000000A-414E-924C-AE15-C233141AFD2F}"/>
              </c:ext>
            </c:extLst>
          </c:dPt>
          <c:dPt>
            <c:idx val="2"/>
            <c:invertIfNegative val="0"/>
            <c:bubble3D val="0"/>
            <c:spPr>
              <a:solidFill>
                <a:schemeClr val="bg1">
                  <a:lumMod val="65000"/>
                </a:schemeClr>
              </a:solidFill>
            </c:spPr>
            <c:extLst>
              <c:ext xmlns:c16="http://schemas.microsoft.com/office/drawing/2014/chart" uri="{C3380CC4-5D6E-409C-BE32-E72D297353CC}">
                <c16:uniqueId val="{0000000C-414E-924C-AE15-C233141AFD2F}"/>
              </c:ext>
            </c:extLst>
          </c:dPt>
          <c:dPt>
            <c:idx val="3"/>
            <c:invertIfNegative val="0"/>
            <c:bubble3D val="0"/>
            <c:spPr>
              <a:solidFill>
                <a:srgbClr val="0070C0"/>
              </a:solidFill>
            </c:spPr>
            <c:extLst>
              <c:ext xmlns:c16="http://schemas.microsoft.com/office/drawing/2014/chart" uri="{C3380CC4-5D6E-409C-BE32-E72D297353CC}">
                <c16:uniqueId val="{0000000E-414E-924C-AE15-C233141AFD2F}"/>
              </c:ext>
            </c:extLst>
          </c:dPt>
          <c:dPt>
            <c:idx val="4"/>
            <c:invertIfNegative val="0"/>
            <c:bubble3D val="0"/>
            <c:spPr>
              <a:solidFill>
                <a:srgbClr val="002060"/>
              </a:solidFill>
            </c:spPr>
            <c:extLst>
              <c:ext xmlns:c16="http://schemas.microsoft.com/office/drawing/2014/chart" uri="{C3380CC4-5D6E-409C-BE32-E72D297353CC}">
                <c16:uniqueId val="{00000010-414E-924C-AE15-C233141AFD2F}"/>
              </c:ext>
            </c:extLst>
          </c:dPt>
          <c:dLbls>
            <c:dLbl>
              <c:idx val="0"/>
              <c:delete val="1"/>
              <c:extLst>
                <c:ext xmlns:c15="http://schemas.microsoft.com/office/drawing/2012/chart" uri="{CE6537A1-D6FC-4f65-9D91-7224C49458BB}"/>
                <c:ext xmlns:c16="http://schemas.microsoft.com/office/drawing/2014/chart" uri="{C3380CC4-5D6E-409C-BE32-E72D297353CC}">
                  <c16:uniqueId val="{00000011-414E-924C-AE15-C233141AFD2F}"/>
                </c:ext>
              </c:extLst>
            </c:dLbl>
            <c:dLbl>
              <c:idx val="2"/>
              <c:layout>
                <c:manualLayout>
                  <c:x val="-6.4453754431195616E-3"/>
                  <c:y val="7.33596813911776E-2"/>
                </c:manualLayout>
              </c:layout>
              <c:tx>
                <c:rich>
                  <a:bodyPr/>
                  <a:lstStyle/>
                  <a:p>
                    <a:pPr>
                      <a:defRPr b="1">
                        <a:solidFill>
                          <a:schemeClr val="tx1"/>
                        </a:solidFill>
                      </a:defRPr>
                    </a:pPr>
                    <a:r>
                      <a:rPr lang="en-US">
                        <a:solidFill>
                          <a:schemeClr val="tx1"/>
                        </a:solidFill>
                      </a:rPr>
                      <a:t>+168</a:t>
                    </a:r>
                  </a:p>
                </c:rich>
              </c:tx>
              <c:numFmt formatCode="#,##0" sourceLinked="0"/>
              <c:spPr>
                <a:noFill/>
                <a:ln>
                  <a:noFill/>
                </a:ln>
                <a:effectLst/>
              </c:spP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414E-924C-AE15-C233141AFD2F}"/>
                </c:ext>
              </c:extLst>
            </c:dLbl>
            <c:dLbl>
              <c:idx val="3"/>
              <c:layout>
                <c:manualLayout>
                  <c:x val="6.0206911777019511E-3"/>
                  <c:y val="3.7877663940656212E-2"/>
                </c:manualLayout>
              </c:layout>
              <c:tx>
                <c:rich>
                  <a:bodyPr/>
                  <a:lstStyle/>
                  <a:p>
                    <a:r>
                      <a:rPr lang="en-US">
                        <a:solidFill>
                          <a:sysClr val="windowText" lastClr="000000"/>
                        </a:solidFill>
                      </a:rPr>
                      <a:t>-0,443</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414E-924C-AE15-C233141AFD2F}"/>
                </c:ext>
              </c:extLst>
            </c:dLbl>
            <c:numFmt formatCode="#,##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'Ebitda bridge'!$K$4:$O$4</c:f>
              <c:strCache>
                <c:ptCount val="5"/>
                <c:pt idx="0">
                  <c:v>EBITDA FY24</c:v>
                </c:pt>
                <c:pt idx="1">
                  <c:v>Delta Revenues</c:v>
                </c:pt>
                <c:pt idx="2">
                  <c:v>Delta Operating costs</c:v>
                </c:pt>
                <c:pt idx="3">
                  <c:v>Delta Operating overhead</c:v>
                </c:pt>
                <c:pt idx="4">
                  <c:v>EBITDA FY25</c:v>
                </c:pt>
              </c:strCache>
            </c:strRef>
          </c:cat>
          <c:val>
            <c:numRef>
              <c:f>'Ebitda bridge'!$K$3:$O$3</c:f>
              <c:numCache>
                <c:formatCode>0.0</c:formatCode>
                <c:ptCount val="5"/>
                <c:pt idx="0" formatCode="General">
                  <c:v>0</c:v>
                </c:pt>
                <c:pt idx="1">
                  <c:v>90083.700000000186</c:v>
                </c:pt>
                <c:pt idx="2">
                  <c:v>-167580.59349999996</c:v>
                </c:pt>
                <c:pt idx="3">
                  <c:v>-443.67350000000442</c:v>
                </c:pt>
                <c:pt idx="4">
                  <c:v>1135054.6200000001</c:v>
                </c:pt>
              </c:numCache>
            </c:numRef>
          </c:val>
          <c:extLst>
            <c:ext xmlns:c16="http://schemas.microsoft.com/office/drawing/2014/chart" uri="{C3380CC4-5D6E-409C-BE32-E72D297353CC}">
              <c16:uniqueId val="{00000012-414E-924C-AE15-C233141AFD2F}"/>
            </c:ext>
          </c:extLst>
        </c:ser>
        <c:dLbls>
          <c:showLegendKey val="0"/>
          <c:showVal val="0"/>
          <c:showCatName val="0"/>
          <c:showSerName val="0"/>
          <c:showPercent val="0"/>
          <c:showBubbleSize val="0"/>
        </c:dLbls>
        <c:gapWidth val="150"/>
        <c:overlap val="100"/>
        <c:axId val="104909056"/>
        <c:axId val="104921728"/>
      </c:barChart>
      <c:catAx>
        <c:axId val="104909056"/>
        <c:scaling>
          <c:orientation val="minMax"/>
        </c:scaling>
        <c:delete val="0"/>
        <c:axPos val="b"/>
        <c:numFmt formatCode="#,##0.00" sourceLinked="0"/>
        <c:majorTickMark val="out"/>
        <c:minorTickMark val="none"/>
        <c:tickLblPos val="nextTo"/>
        <c:spPr>
          <a:ln>
            <a:noFill/>
          </a:ln>
        </c:spPr>
        <c:crossAx val="104921728"/>
        <c:crosses val="autoZero"/>
        <c:auto val="1"/>
        <c:lblAlgn val="ctr"/>
        <c:lblOffset val="100"/>
        <c:noMultiLvlLbl val="0"/>
      </c:catAx>
      <c:valAx>
        <c:axId val="104921728"/>
        <c:scaling>
          <c:orientation val="minMax"/>
        </c:scaling>
        <c:delete val="0"/>
        <c:axPos val="l"/>
        <c:majorGridlines>
          <c:spPr>
            <a:ln>
              <a:solidFill>
                <a:schemeClr val="bg1">
                  <a:lumMod val="65000"/>
                  <a:alpha val="24000"/>
                </a:schemeClr>
              </a:solidFill>
            </a:ln>
          </c:spPr>
        </c:majorGridlines>
        <c:numFmt formatCode="#,##0" sourceLinked="0"/>
        <c:majorTickMark val="out"/>
        <c:minorTickMark val="none"/>
        <c:tickLblPos val="nextTo"/>
        <c:spPr>
          <a:ln>
            <a:noFill/>
          </a:ln>
        </c:spPr>
        <c:crossAx val="104909056"/>
        <c:crosses val="autoZero"/>
        <c:crossBetween val="between"/>
      </c:valAx>
    </c:plotArea>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1">
                <a:solidFill>
                  <a:srgbClr val="002060"/>
                </a:solidFill>
              </a:rPr>
              <a:t>FY22-FY29:</a:t>
            </a:r>
            <a:r>
              <a:rPr lang="en-US" b="1" baseline="0">
                <a:solidFill>
                  <a:srgbClr val="002060"/>
                </a:solidFill>
              </a:rPr>
              <a:t> </a:t>
            </a:r>
            <a:r>
              <a:rPr lang="en-US" b="1">
                <a:solidFill>
                  <a:srgbClr val="002060"/>
                </a:solidFill>
              </a:rPr>
              <a:t>Working</a:t>
            </a:r>
            <a:r>
              <a:rPr lang="en-US" b="1" baseline="0">
                <a:solidFill>
                  <a:srgbClr val="002060"/>
                </a:solidFill>
              </a:rPr>
              <a:t> Capital Development</a:t>
            </a:r>
            <a:endParaRPr lang="en-US" b="1">
              <a:solidFill>
                <a:srgbClr val="002060"/>
              </a:solidFill>
            </a:endParaRPr>
          </a:p>
        </c:rich>
      </c:tx>
      <c:layout>
        <c:manualLayout>
          <c:xMode val="edge"/>
          <c:yMode val="edge"/>
          <c:x val="1.0693830557425685E-2"/>
          <c:y val="2.3937766331211228E-2"/>
        </c:manualLayout>
      </c:layout>
      <c:overlay val="0"/>
    </c:title>
    <c:autoTitleDeleted val="0"/>
    <c:plotArea>
      <c:layout/>
      <c:areaChart>
        <c:grouping val="standard"/>
        <c:varyColors val="0"/>
        <c:ser>
          <c:idx val="3"/>
          <c:order val="3"/>
          <c:tx>
            <c:strRef>
              <c:f>'Working capital'!$B$7</c:f>
              <c:strCache>
                <c:ptCount val="1"/>
                <c:pt idx="0">
                  <c:v>Working capital</c:v>
                </c:pt>
              </c:strCache>
            </c:strRef>
          </c:tx>
          <c:spPr>
            <a:solidFill>
              <a:schemeClr val="bg1">
                <a:lumMod val="65000"/>
              </a:schemeClr>
            </a:solidFill>
          </c:spPr>
          <c:val>
            <c:numRef>
              <c:f>'Working capital'!$C$7:$K$7</c:f>
              <c:numCache>
                <c:formatCode>_(* #,##0_);_(* \(#,##0\);_(* "-"??_);_(@_)</c:formatCode>
                <c:ptCount val="9"/>
                <c:pt idx="0">
                  <c:v>129580</c:v>
                </c:pt>
                <c:pt idx="1">
                  <c:v>98317</c:v>
                </c:pt>
                <c:pt idx="2">
                  <c:v>94145</c:v>
                </c:pt>
                <c:pt idx="4">
                  <c:v>100936.93481506851</c:v>
                </c:pt>
                <c:pt idx="5">
                  <c:v>105983.78155582194</c:v>
                </c:pt>
                <c:pt idx="6">
                  <c:v>111282.97063361306</c:v>
                </c:pt>
                <c:pt idx="7">
                  <c:v>116847.1191652937</c:v>
                </c:pt>
                <c:pt idx="8">
                  <c:v>122689.47512355846</c:v>
                </c:pt>
              </c:numCache>
            </c:numRef>
          </c:val>
          <c:extLst>
            <c:ext xmlns:c16="http://schemas.microsoft.com/office/drawing/2014/chart" uri="{C3380CC4-5D6E-409C-BE32-E72D297353CC}">
              <c16:uniqueId val="{00000000-D449-CB4F-A9C2-4F7A53CD28AF}"/>
            </c:ext>
          </c:extLst>
        </c:ser>
        <c:dLbls>
          <c:showLegendKey val="0"/>
          <c:showVal val="0"/>
          <c:showCatName val="0"/>
          <c:showSerName val="0"/>
          <c:showPercent val="0"/>
          <c:showBubbleSize val="0"/>
        </c:dLbls>
        <c:axId val="105145088"/>
        <c:axId val="105142912"/>
      </c:areaChart>
      <c:barChart>
        <c:barDir val="col"/>
        <c:grouping val="clustered"/>
        <c:varyColors val="0"/>
        <c:ser>
          <c:idx val="0"/>
          <c:order val="0"/>
          <c:tx>
            <c:strRef>
              <c:f>'Working capital'!$B$9</c:f>
              <c:strCache>
                <c:ptCount val="1"/>
                <c:pt idx="0">
                  <c:v>DSO </c:v>
                </c:pt>
              </c:strCache>
            </c:strRef>
          </c:tx>
          <c:spPr>
            <a:solidFill>
              <a:srgbClr val="002060"/>
            </a:solidFill>
          </c:spPr>
          <c:invertIfNegative val="0"/>
          <c:dLbls>
            <c:spPr>
              <a:noFill/>
              <a:ln>
                <a:noFill/>
              </a:ln>
              <a:effectLst/>
            </c:spPr>
            <c:txPr>
              <a:bodyPr/>
              <a:lstStyle/>
              <a:p>
                <a:pPr>
                  <a:defRPr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'Working capital'!$C$3:$K$3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'Working capital'!$C$9:$K$9</c:f>
              <c:numCache>
                <c:formatCode>_(* #,##0_);_(* \(#,##0\);_(* "-"??_);_(@_)</c:formatCode>
                <c:ptCount val="9"/>
                <c:pt idx="0">
                  <c:v>26.483429691405608</c:v>
                </c:pt>
                <c:pt idx="1">
                  <c:v>32.229748547301647</c:v>
                </c:pt>
                <c:pt idx="2">
                  <c:v>34.011513736669343</c:v>
                </c:pt>
                <c:pt idx="3">
                  <c:v>0</c:v>
                </c:pt>
                <c:pt idx="4">
                  <c:v>35</c:v>
                </c:pt>
                <c:pt idx="5">
                  <c:v>35</c:v>
                </c:pt>
                <c:pt idx="6">
                  <c:v>35</c:v>
                </c:pt>
                <c:pt idx="7">
                  <c:v>35</c:v>
                </c:pt>
                <c:pt idx="8">
                  <c:v>35</c:v>
                </c:pt>
              </c:numCache>
            </c:numRef>
          </c:val>
          <c:extLst>
            <c:ext xmlns:c16="http://schemas.microsoft.com/office/drawing/2014/chart" uri="{C3380CC4-5D6E-409C-BE32-E72D297353CC}">
              <c16:uniqueId val="{00000001-D449-CB4F-A9C2-4F7A53CD28AF}"/>
            </c:ext>
          </c:extLst>
        </c:ser>
        <c:ser>
          <c:idx val="1"/>
          <c:order val="1"/>
          <c:tx>
            <c:strRef>
              <c:f>'Working capital'!$B$10</c:f>
              <c:strCache>
                <c:ptCount val="1"/>
                <c:pt idx="0">
                  <c:v>DIO</c:v>
                </c:pt>
              </c:strCache>
            </c:strRef>
          </c:tx>
          <c:spPr>
            <a:solidFill>
              <a:srgbClr val="0070C0"/>
            </a:solidFill>
          </c:spPr>
          <c:invertIfNegative val="0"/>
          <c:dLbls>
            <c:spPr>
              <a:noFill/>
              <a:ln>
                <a:noFill/>
              </a:ln>
              <a:effectLst/>
            </c:spPr>
            <c:txPr>
              <a:bodyPr/>
              <a:lstStyle/>
              <a:p>
                <a:pPr>
                  <a:defRPr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'Working capital'!$C$3:$K$3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'Working capital'!$C$10:$K$10</c:f>
              <c:numCache>
                <c:formatCode>_(* #,##0_);_(* \(#,##0\);_(* "-"??_);_(@_)</c:formatCode>
                <c:ptCount val="9"/>
                <c:pt idx="0">
                  <c:v>39.280857113493887</c:v>
                </c:pt>
                <c:pt idx="1">
                  <c:v>39.237558205124678</c:v>
                </c:pt>
                <c:pt idx="2">
                  <c:v>37.258402144745972</c:v>
                </c:pt>
                <c:pt idx="3">
                  <c:v>0</c:v>
                </c:pt>
                <c:pt idx="4">
                  <c:v>25</c:v>
                </c:pt>
                <c:pt idx="5">
                  <c:v>25</c:v>
                </c:pt>
                <c:pt idx="6">
                  <c:v>25</c:v>
                </c:pt>
                <c:pt idx="7">
                  <c:v>25</c:v>
                </c:pt>
                <c:pt idx="8">
                  <c:v>25</c:v>
                </c:pt>
              </c:numCache>
            </c:numRef>
          </c:val>
          <c:extLst>
            <c:ext xmlns:c16="http://schemas.microsoft.com/office/drawing/2014/chart" uri="{C3380CC4-5D6E-409C-BE32-E72D297353CC}">
              <c16:uniqueId val="{00000002-D449-CB4F-A9C2-4F7A53CD28AF}"/>
            </c:ext>
          </c:extLst>
        </c:ser>
        <c:ser>
          <c:idx val="2"/>
          <c:order val="2"/>
          <c:tx>
            <c:strRef>
              <c:f>'Working capital'!$B$11</c:f>
              <c:strCache>
                <c:ptCount val="1"/>
                <c:pt idx="0">
                  <c:v>DPO</c:v>
                </c:pt>
              </c:strCache>
            </c:strRef>
          </c:tx>
          <c:spPr>
            <a:solidFill>
              <a:schemeClr val="accent2">
                <a:lumMod val="75000"/>
              </a:schemeClr>
            </a:solidFill>
          </c:spPr>
          <c:invertIfNegative val="0"/>
          <c:dLbls>
            <c:spPr>
              <a:noFill/>
              <a:ln>
                <a:noFill/>
              </a:ln>
              <a:effectLst/>
            </c:spPr>
            <c:txPr>
              <a:bodyPr/>
              <a:lstStyle/>
              <a:p>
                <a:pPr>
                  <a:defRPr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'Working capital'!$C$3:$K$3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'Working capital'!$C$11:$K$11</c:f>
              <c:numCache>
                <c:formatCode>_(* #,##0_);_(* \(#,##0\);_(* "-"??_);_(@_)</c:formatCode>
                <c:ptCount val="9"/>
                <c:pt idx="0">
                  <c:v>52.90302447672228</c:v>
                </c:pt>
                <c:pt idx="1">
                  <c:v>69.185578511724827</c:v>
                </c:pt>
                <c:pt idx="2">
                  <c:v>70.071765843286755</c:v>
                </c:pt>
                <c:pt idx="3">
                  <c:v>0</c:v>
                </c:pt>
                <c:pt idx="4">
                  <c:v>70</c:v>
                </c:pt>
                <c:pt idx="5">
                  <c:v>70</c:v>
                </c:pt>
                <c:pt idx="6">
                  <c:v>70</c:v>
                </c:pt>
                <c:pt idx="7">
                  <c:v>70</c:v>
                </c:pt>
                <c:pt idx="8">
                  <c:v>70</c:v>
                </c:pt>
              </c:numCache>
            </c:numRef>
          </c:val>
          <c:extLst>
            <c:ext xmlns:c16="http://schemas.microsoft.com/office/drawing/2014/chart" uri="{C3380CC4-5D6E-409C-BE32-E72D297353CC}">
              <c16:uniqueId val="{00000003-D449-CB4F-A9C2-4F7A53CD28AF}"/>
            </c:ext>
          </c:extLst>
        </c:ser>
        <c:dLbls>
          <c:showLegendKey val="0"/>
          <c:showVal val="0"/>
          <c:showCatName val="0"/>
          <c:showSerName val="0"/>
          <c:showPercent val="0"/>
          <c:showBubbleSize val="0"/>
        </c:dLbls>
        <c:gapWidth val="30"/>
        <c:axId val="105126912"/>
        <c:axId val="105140992"/>
      </c:barChart>
      <c:catAx>
        <c:axId val="105126912"/>
        <c:scaling>
          <c:orientation val="minMax"/>
        </c:scaling>
        <c:delete val="0"/>
        <c:axPos val="b"/>
        <c:numFmt formatCode="General" sourceLinked="0"/>
        <c:majorTickMark val="out"/>
        <c:minorTickMark val="none"/>
        <c:tickLblPos val="nextTo"/>
        <c:crossAx val="105140992"/>
        <c:crosses val="autoZero"/>
        <c:auto val="1"/>
        <c:lblAlgn val="ctr"/>
        <c:lblOffset val="100"/>
        <c:noMultiLvlLbl val="0"/>
      </c:catAx>
      <c:valAx>
        <c:axId val="105140992"/>
        <c:scaling>
          <c:orientation val="minMax"/>
          <c:max val="80"/>
          <c:min val="20"/>
        </c:scaling>
        <c:delete val="0"/>
        <c:axPos val="l"/>
        <c:majorGridlines>
          <c:spPr>
            <a:ln>
              <a:solidFill>
                <a:schemeClr val="bg1">
                  <a:lumMod val="65000"/>
                  <a:alpha val="34000"/>
                </a:schemeClr>
              </a:solidFill>
            </a:ln>
          </c:spPr>
        </c:majorGridlines>
        <c:title>
          <c:tx>
            <c:rich>
              <a:bodyPr rot="-5400000" vert="horz"/>
              <a:lstStyle/>
              <a:p>
                <a:pPr>
                  <a:defRPr b="0"/>
                </a:pPr>
                <a:r>
                  <a:rPr lang="en-US" b="0"/>
                  <a:t>days</a:t>
                </a:r>
              </a:p>
            </c:rich>
          </c:tx>
          <c:overlay val="0"/>
        </c:title>
        <c:numFmt formatCode="_(* #,##0_);_(* \(#,##0\);_(* &quot;-&quot;??_);_(@_)" sourceLinked="1"/>
        <c:majorTickMark val="out"/>
        <c:minorTickMark val="none"/>
        <c:tickLblPos val="nextTo"/>
        <c:crossAx val="105126912"/>
        <c:crosses val="autoZero"/>
        <c:crossBetween val="between"/>
        <c:majorUnit val="30"/>
      </c:valAx>
      <c:valAx>
        <c:axId val="105142912"/>
        <c:scaling>
          <c:orientation val="minMax"/>
          <c:min val="90000"/>
        </c:scaling>
        <c:delete val="0"/>
        <c:axPos val="r"/>
        <c:title>
          <c:tx>
            <c:rich>
              <a:bodyPr rot="-5400000" vert="horz"/>
              <a:lstStyle/>
              <a:p>
                <a:pPr>
                  <a:defRPr/>
                </a:pPr>
                <a:r>
                  <a:rPr lang="en-US" b="0"/>
                  <a:t>SAR in millions</a:t>
                </a:r>
              </a:p>
            </c:rich>
          </c:tx>
          <c:overlay val="0"/>
        </c:title>
        <c:numFmt formatCode="_(* #,##0_);_(* \(#,##0\);_(* &quot;-&quot;??_);_(@_)" sourceLinked="1"/>
        <c:majorTickMark val="out"/>
        <c:minorTickMark val="none"/>
        <c:tickLblPos val="nextTo"/>
        <c:crossAx val="105145088"/>
        <c:crosses val="max"/>
        <c:crossBetween val="between"/>
        <c:majorUnit val="10000"/>
      </c:valAx>
      <c:catAx>
        <c:axId val="105145088"/>
        <c:scaling>
          <c:orientation val="minMax"/>
        </c:scaling>
        <c:delete val="1"/>
        <c:axPos val="b"/>
        <c:majorTickMark val="out"/>
        <c:minorTickMark val="none"/>
        <c:tickLblPos val="nextTo"/>
        <c:crossAx val="105142912"/>
        <c:crosses val="autoZero"/>
        <c:auto val="1"/>
        <c:lblAlgn val="ctr"/>
        <c:lblOffset val="100"/>
        <c:noMultiLvlLbl val="0"/>
      </c:catAx>
    </c:plotArea>
    <c:legend>
      <c:legendPos val="b"/>
      <c:overlay val="0"/>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7</xdr:col>
      <xdr:colOff>17584</xdr:colOff>
      <xdr:row>18</xdr:row>
      <xdr:rowOff>111370</xdr:rowOff>
    </xdr:from>
    <xdr:to>
      <xdr:col>10</xdr:col>
      <xdr:colOff>603738</xdr:colOff>
      <xdr:row>19</xdr:row>
      <xdr:rowOff>128954</xdr:rowOff>
    </xdr:to>
    <xdr:sp macro="" textlink="">
      <xdr:nvSpPr>
        <xdr:cNvPr id="2" name="TextBox 1">
          <a:extLst>
            <a:ext uri="{FF2B5EF4-FFF2-40B4-BE49-F238E27FC236}">
              <a16:creationId xmlns:a16="http://schemas.microsoft.com/office/drawing/2014/main" id="{9DF076ED-7653-8349-965E-1D81D1640E3E}"/>
            </a:ext>
          </a:extLst>
        </xdr:cNvPr>
        <xdr:cNvSpPr txBox="1"/>
      </xdr:nvSpPr>
      <xdr:spPr>
        <a:xfrm>
          <a:off x="5148384" y="2981570"/>
          <a:ext cx="2681654" cy="169984"/>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WACC</a:t>
          </a:r>
        </a:p>
      </xdr:txBody>
    </xdr:sp>
    <xdr:clientData/>
  </xdr:twoCellAnchor>
  <xdr:twoCellAnchor>
    <xdr:from>
      <xdr:col>6</xdr:col>
      <xdr:colOff>193430</xdr:colOff>
      <xdr:row>21</xdr:row>
      <xdr:rowOff>5862</xdr:rowOff>
    </xdr:from>
    <xdr:to>
      <xdr:col>6</xdr:col>
      <xdr:colOff>445477</xdr:colOff>
      <xdr:row>24</xdr:row>
      <xdr:rowOff>134815</xdr:rowOff>
    </xdr:to>
    <xdr:sp macro="" textlink="">
      <xdr:nvSpPr>
        <xdr:cNvPr id="3" name="TextBox 2">
          <a:extLst>
            <a:ext uri="{FF2B5EF4-FFF2-40B4-BE49-F238E27FC236}">
              <a16:creationId xmlns:a16="http://schemas.microsoft.com/office/drawing/2014/main" id="{A7A11ACC-2566-894E-A47B-4DE526E2BE77}"/>
            </a:ext>
          </a:extLst>
        </xdr:cNvPr>
        <xdr:cNvSpPr txBox="1"/>
      </xdr:nvSpPr>
      <xdr:spPr>
        <a:xfrm>
          <a:off x="4562230" y="3333262"/>
          <a:ext cx="252047" cy="586153"/>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9</xdr:row>
      <xdr:rowOff>95250</xdr:rowOff>
    </xdr:from>
    <xdr:to>
      <xdr:col>5</xdr:col>
      <xdr:colOff>104776</xdr:colOff>
      <xdr:row>24</xdr:row>
      <xdr:rowOff>90486</xdr:rowOff>
    </xdr:to>
    <xdr:graphicFrame macro="">
      <xdr:nvGraphicFramePr>
        <xdr:cNvPr id="2" name="Chart 1">
          <a:extLst>
            <a:ext uri="{FF2B5EF4-FFF2-40B4-BE49-F238E27FC236}">
              <a16:creationId xmlns:a16="http://schemas.microsoft.com/office/drawing/2014/main" id="{F264EE2A-8B5C-9944-993D-477692410C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104776</xdr:colOff>
      <xdr:row>9</xdr:row>
      <xdr:rowOff>95250</xdr:rowOff>
    </xdr:from>
    <xdr:to>
      <xdr:col>10</xdr:col>
      <xdr:colOff>419101</xdr:colOff>
      <xdr:row>24</xdr:row>
      <xdr:rowOff>90486</xdr:rowOff>
    </xdr:to>
    <xdr:graphicFrame macro="">
      <xdr:nvGraphicFramePr>
        <xdr:cNvPr id="3" name="Chart 2">
          <a:extLst>
            <a:ext uri="{FF2B5EF4-FFF2-40B4-BE49-F238E27FC236}">
              <a16:creationId xmlns:a16="http://schemas.microsoft.com/office/drawing/2014/main" id="{055F84DC-04D7-944F-9EA9-1ED4F55BAB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104776</xdr:colOff>
      <xdr:row>9</xdr:row>
      <xdr:rowOff>95250</xdr:rowOff>
    </xdr:from>
    <xdr:to>
      <xdr:col>16</xdr:col>
      <xdr:colOff>419101</xdr:colOff>
      <xdr:row>24</xdr:row>
      <xdr:rowOff>90486</xdr:rowOff>
    </xdr:to>
    <xdr:graphicFrame macro="">
      <xdr:nvGraphicFramePr>
        <xdr:cNvPr id="4" name="Chart 3">
          <a:extLst>
            <a:ext uri="{FF2B5EF4-FFF2-40B4-BE49-F238E27FC236}">
              <a16:creationId xmlns:a16="http://schemas.microsoft.com/office/drawing/2014/main" id="{058A252E-934C-6949-897D-6D13504AD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0.18942</cdr:x>
      <cdr:y>0.4058</cdr:y>
    </cdr:from>
    <cdr:to>
      <cdr:x>0.48468</cdr:x>
      <cdr:y>0.55901</cdr:y>
    </cdr:to>
    <cdr:sp macro="" textlink="">
      <cdr:nvSpPr>
        <cdr:cNvPr id="2" name="TextBox 1"/>
        <cdr:cNvSpPr txBox="1"/>
      </cdr:nvSpPr>
      <cdr:spPr>
        <a:xfrm xmlns:a="http://schemas.openxmlformats.org/drawingml/2006/main">
          <a:off x="647701" y="933451"/>
          <a:ext cx="10096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0.21347</cdr:x>
      <cdr:y>0.47321</cdr:y>
    </cdr:from>
    <cdr:to>
      <cdr:x>0.48747</cdr:x>
      <cdr:y>0.58177</cdr:y>
    </cdr:to>
    <cdr:sp macro="" textlink="">
      <cdr:nvSpPr>
        <cdr:cNvPr id="3" name="TextBox 4"/>
        <cdr:cNvSpPr txBox="1"/>
      </cdr:nvSpPr>
      <cdr:spPr>
        <a:xfrm xmlns:a="http://schemas.openxmlformats.org/drawingml/2006/main">
          <a:off x="795020" y="1079504"/>
          <a:ext cx="1020453" cy="24765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lumMod val="65000"/>
            </a:schemeClr>
          </a:solidFill>
        </a:ln>
        <a:effectLst xmlns:a="http://schemas.openxmlformats.org/drawingml/2006/main">
          <a:outerShdw blurRad="50800" dist="50800" dir="5400000" algn="ctr" rotWithShape="0">
            <a:srgbClr val="000000">
              <a:alpha val="24000"/>
            </a:srgbClr>
          </a:outerShdw>
        </a:effectLst>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latin typeface="Arial" pitchFamily="34" charset="0"/>
              <a:cs typeface="Arial" pitchFamily="34" charset="0"/>
            </a:rPr>
            <a:t>$1.623,93b</a:t>
          </a:r>
        </a:p>
      </cdr:txBody>
    </cdr:sp>
  </cdr:relSizeAnchor>
</c:userShapes>
</file>

<file path=xl/drawings/drawing4.xml><?xml version="1.0" encoding="utf-8"?>
<c:userShapes xmlns:c="http://schemas.openxmlformats.org/drawingml/2006/chart">
  <cdr:relSizeAnchor xmlns:cdr="http://schemas.openxmlformats.org/drawingml/2006/chartDrawing">
    <cdr:from>
      <cdr:x>0.18942</cdr:x>
      <cdr:y>0.4058</cdr:y>
    </cdr:from>
    <cdr:to>
      <cdr:x>0.48468</cdr:x>
      <cdr:y>0.55901</cdr:y>
    </cdr:to>
    <cdr:sp macro="" textlink="">
      <cdr:nvSpPr>
        <cdr:cNvPr id="2" name="TextBox 1"/>
        <cdr:cNvSpPr txBox="1"/>
      </cdr:nvSpPr>
      <cdr:spPr>
        <a:xfrm xmlns:a="http://schemas.openxmlformats.org/drawingml/2006/main">
          <a:off x="647701" y="933451"/>
          <a:ext cx="10096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0.23491</cdr:x>
      <cdr:y>0.47321</cdr:y>
    </cdr:from>
    <cdr:to>
      <cdr:x>0.48747</cdr:x>
      <cdr:y>0.58177</cdr:y>
    </cdr:to>
    <cdr:sp macro="" textlink="">
      <cdr:nvSpPr>
        <cdr:cNvPr id="3" name="TextBox 4"/>
        <cdr:cNvSpPr txBox="1"/>
      </cdr:nvSpPr>
      <cdr:spPr>
        <a:xfrm xmlns:a="http://schemas.openxmlformats.org/drawingml/2006/main">
          <a:off x="803275" y="1079500"/>
          <a:ext cx="863601" cy="247649"/>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lumMod val="65000"/>
            </a:schemeClr>
          </a:solidFill>
        </a:ln>
        <a:effectLst xmlns:a="http://schemas.openxmlformats.org/drawingml/2006/main">
          <a:outerShdw blurRad="50800" dist="50800" dir="5400000" algn="ctr" rotWithShape="0">
            <a:srgbClr val="000000">
              <a:alpha val="24000"/>
            </a:srgbClr>
          </a:outerShdw>
        </a:effectLst>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latin typeface="Arial" pitchFamily="34" charset="0"/>
              <a:cs typeface="Arial" pitchFamily="34" charset="0"/>
            </a:rPr>
            <a:t>$1.221,04b</a:t>
          </a:r>
        </a:p>
      </cdr:txBody>
    </cdr:sp>
  </cdr:relSizeAnchor>
</c:userShapes>
</file>

<file path=xl/drawings/drawing5.xml><?xml version="1.0" encoding="utf-8"?>
<c:userShapes xmlns:c="http://schemas.openxmlformats.org/drawingml/2006/chart">
  <cdr:relSizeAnchor xmlns:cdr="http://schemas.openxmlformats.org/drawingml/2006/chartDrawing">
    <cdr:from>
      <cdr:x>0.18942</cdr:x>
      <cdr:y>0.4058</cdr:y>
    </cdr:from>
    <cdr:to>
      <cdr:x>0.48468</cdr:x>
      <cdr:y>0.55901</cdr:y>
    </cdr:to>
    <cdr:sp macro="" textlink="">
      <cdr:nvSpPr>
        <cdr:cNvPr id="2" name="TextBox 1"/>
        <cdr:cNvSpPr txBox="1"/>
      </cdr:nvSpPr>
      <cdr:spPr>
        <a:xfrm xmlns:a="http://schemas.openxmlformats.org/drawingml/2006/main">
          <a:off x="647701" y="933451"/>
          <a:ext cx="10096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0.23491</cdr:x>
      <cdr:y>0.47321</cdr:y>
    </cdr:from>
    <cdr:to>
      <cdr:x>0.48747</cdr:x>
      <cdr:y>0.58177</cdr:y>
    </cdr:to>
    <cdr:sp macro="" textlink="">
      <cdr:nvSpPr>
        <cdr:cNvPr id="3" name="TextBox 4"/>
        <cdr:cNvSpPr txBox="1"/>
      </cdr:nvSpPr>
      <cdr:spPr>
        <a:xfrm xmlns:a="http://schemas.openxmlformats.org/drawingml/2006/main">
          <a:off x="803275" y="1079500"/>
          <a:ext cx="863601" cy="247649"/>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lumMod val="65000"/>
            </a:schemeClr>
          </a:solidFill>
        </a:ln>
        <a:effectLst xmlns:a="http://schemas.openxmlformats.org/drawingml/2006/main">
          <a:outerShdw blurRad="50800" dist="50800" dir="5400000" algn="ctr" rotWithShape="0">
            <a:srgbClr val="000000">
              <a:alpha val="24000"/>
            </a:srgbClr>
          </a:outerShdw>
        </a:effectLst>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latin typeface="Arial" pitchFamily="34" charset="0"/>
              <a:cs typeface="Arial" pitchFamily="34" charset="0"/>
            </a:rPr>
            <a:t>$820,95m</a:t>
          </a:r>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47625</xdr:colOff>
      <xdr:row>7</xdr:row>
      <xdr:rowOff>47625</xdr:rowOff>
    </xdr:from>
    <xdr:to>
      <xdr:col>13</xdr:col>
      <xdr:colOff>133350</xdr:colOff>
      <xdr:row>25</xdr:row>
      <xdr:rowOff>47625</xdr:rowOff>
    </xdr:to>
    <xdr:graphicFrame macro="">
      <xdr:nvGraphicFramePr>
        <xdr:cNvPr id="2" name="Chart 1">
          <a:extLst>
            <a:ext uri="{FF2B5EF4-FFF2-40B4-BE49-F238E27FC236}">
              <a16:creationId xmlns:a16="http://schemas.microsoft.com/office/drawing/2014/main" id="{4D0E60B8-9759-BB45-86A8-262BAA2C56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0.49319</cdr:x>
      <cdr:y>0.11574</cdr:y>
    </cdr:from>
    <cdr:to>
      <cdr:x>0.92949</cdr:x>
      <cdr:y>0.18519</cdr:y>
    </cdr:to>
    <cdr:sp macro="" textlink="">
      <cdr:nvSpPr>
        <cdr:cNvPr id="4" name="TextBox 2"/>
        <cdr:cNvSpPr txBox="1"/>
      </cdr:nvSpPr>
      <cdr:spPr>
        <a:xfrm xmlns:a="http://schemas.openxmlformats.org/drawingml/2006/main">
          <a:off x="3908425" y="317500"/>
          <a:ext cx="3457575" cy="190500"/>
        </a:xfrm>
        <a:prstGeom xmlns:a="http://schemas.openxmlformats.org/drawingml/2006/main" prst="rect">
          <a:avLst/>
        </a:prstGeom>
        <a:solidFill xmlns:a="http://schemas.openxmlformats.org/drawingml/2006/main">
          <a:schemeClr val="accent1">
            <a:lumMod val="75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Forecast period</a:t>
          </a:r>
        </a:p>
      </cdr:txBody>
    </cdr:sp>
  </cdr:relSizeAnchor>
  <cdr:relSizeAnchor xmlns:cdr="http://schemas.openxmlformats.org/drawingml/2006/chartDrawing">
    <cdr:from>
      <cdr:x>0.1242</cdr:x>
      <cdr:y>0.11574</cdr:y>
    </cdr:from>
    <cdr:to>
      <cdr:x>0.38141</cdr:x>
      <cdr:y>0.18866</cdr:y>
    </cdr:to>
    <cdr:sp macro="" textlink="">
      <cdr:nvSpPr>
        <cdr:cNvPr id="5" name="TextBox 3"/>
        <cdr:cNvSpPr txBox="1"/>
      </cdr:nvSpPr>
      <cdr:spPr>
        <a:xfrm xmlns:a="http://schemas.openxmlformats.org/drawingml/2006/main">
          <a:off x="984250" y="317500"/>
          <a:ext cx="2038350" cy="200024"/>
        </a:xfrm>
        <a:prstGeom xmlns:a="http://schemas.openxmlformats.org/drawingml/2006/main" prst="rect">
          <a:avLst/>
        </a:prstGeom>
        <a:solidFill xmlns:a="http://schemas.openxmlformats.org/drawingml/2006/main">
          <a:srgbClr val="002060"/>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Historical figures</a:t>
          </a:r>
        </a:p>
      </cdr:txBody>
    </cdr:sp>
  </cdr:relSizeAnchor>
</c:userShapes>
</file>

<file path=xl/drawings/drawing8.xml><?xml version="1.0" encoding="utf-8"?>
<xdr:wsDr xmlns:xdr="http://schemas.openxmlformats.org/drawingml/2006/spreadsheetDrawing" xmlns:a="http://schemas.openxmlformats.org/drawingml/2006/main">
  <xdr:twoCellAnchor>
    <xdr:from>
      <xdr:col>1</xdr:col>
      <xdr:colOff>0</xdr:colOff>
      <xdr:row>6</xdr:row>
      <xdr:rowOff>114300</xdr:rowOff>
    </xdr:from>
    <xdr:to>
      <xdr:col>11</xdr:col>
      <xdr:colOff>533400</xdr:colOff>
      <xdr:row>25</xdr:row>
      <xdr:rowOff>71437</xdr:rowOff>
    </xdr:to>
    <xdr:graphicFrame macro="">
      <xdr:nvGraphicFramePr>
        <xdr:cNvPr id="2" name="Chart 1">
          <a:extLst>
            <a:ext uri="{FF2B5EF4-FFF2-40B4-BE49-F238E27FC236}">
              <a16:creationId xmlns:a16="http://schemas.microsoft.com/office/drawing/2014/main" id="{C5709C8D-AAAB-3340-84D2-23CBA6A4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66674</xdr:colOff>
      <xdr:row>9</xdr:row>
      <xdr:rowOff>0</xdr:rowOff>
    </xdr:from>
    <xdr:to>
      <xdr:col>14</xdr:col>
      <xdr:colOff>101599</xdr:colOff>
      <xdr:row>30</xdr:row>
      <xdr:rowOff>88900</xdr:rowOff>
    </xdr:to>
    <xdr:graphicFrame macro="">
      <xdr:nvGraphicFramePr>
        <xdr:cNvPr id="2" name="Chart 1">
          <a:extLst>
            <a:ext uri="{FF2B5EF4-FFF2-40B4-BE49-F238E27FC236}">
              <a16:creationId xmlns:a16="http://schemas.microsoft.com/office/drawing/2014/main" id="{36FCE6C1-0D04-8145-BEE7-B45FA010A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28575</xdr:colOff>
      <xdr:row>12</xdr:row>
      <xdr:rowOff>66674</xdr:rowOff>
    </xdr:from>
    <xdr:to>
      <xdr:col>12</xdr:col>
      <xdr:colOff>390525</xdr:colOff>
      <xdr:row>33</xdr:row>
      <xdr:rowOff>12699</xdr:rowOff>
    </xdr:to>
    <xdr:graphicFrame macro="">
      <xdr:nvGraphicFramePr>
        <xdr:cNvPr id="2" name="Chart 1">
          <a:extLst>
            <a:ext uri="{FF2B5EF4-FFF2-40B4-BE49-F238E27FC236}">
              <a16:creationId xmlns:a16="http://schemas.microsoft.com/office/drawing/2014/main" id="{EA651FF4-FC74-5B47-B4A5-F8DA26591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0.46014</cdr:x>
      <cdr:y>0.11969</cdr:y>
    </cdr:from>
    <cdr:to>
      <cdr:x>0.88972</cdr:x>
      <cdr:y>0.19552</cdr:y>
    </cdr:to>
    <cdr:sp macro="" textlink="">
      <cdr:nvSpPr>
        <cdr:cNvPr id="2" name="TextBox 2"/>
        <cdr:cNvSpPr txBox="1"/>
      </cdr:nvSpPr>
      <cdr:spPr>
        <a:xfrm xmlns:a="http://schemas.openxmlformats.org/drawingml/2006/main">
          <a:off x="3317805" y="301542"/>
          <a:ext cx="3097454" cy="191044"/>
        </a:xfrm>
        <a:prstGeom xmlns:a="http://schemas.openxmlformats.org/drawingml/2006/main" prst="rect">
          <a:avLst/>
        </a:prstGeom>
        <a:solidFill xmlns:a="http://schemas.openxmlformats.org/drawingml/2006/main">
          <a:schemeClr val="accent1">
            <a:lumMod val="75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Forecast period</a:t>
          </a:r>
        </a:p>
      </cdr:txBody>
    </cdr:sp>
  </cdr:relSizeAnchor>
  <cdr:relSizeAnchor xmlns:cdr="http://schemas.openxmlformats.org/drawingml/2006/chartDrawing">
    <cdr:from>
      <cdr:x>0.08839</cdr:x>
      <cdr:y>0.11969</cdr:y>
    </cdr:from>
    <cdr:to>
      <cdr:x>0.35357</cdr:x>
      <cdr:y>0.19509</cdr:y>
    </cdr:to>
    <cdr:sp macro="" textlink="">
      <cdr:nvSpPr>
        <cdr:cNvPr id="3" name="TextBox 3"/>
        <cdr:cNvSpPr txBox="1"/>
      </cdr:nvSpPr>
      <cdr:spPr>
        <a:xfrm xmlns:a="http://schemas.openxmlformats.org/drawingml/2006/main">
          <a:off x="679450" y="317499"/>
          <a:ext cx="2038350" cy="200024"/>
        </a:xfrm>
        <a:prstGeom xmlns:a="http://schemas.openxmlformats.org/drawingml/2006/main" prst="rect">
          <a:avLst/>
        </a:prstGeom>
        <a:solidFill xmlns:a="http://schemas.openxmlformats.org/drawingml/2006/main">
          <a:srgbClr val="002060"/>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Historical figures</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20A34-98A0-B148-BEF5-4287C7B211B1}">
  <sheetPr>
    <tabColor rgb="FF002060"/>
  </sheetPr>
  <dimension ref="B1:C25"/>
  <sheetViews>
    <sheetView zoomScale="164" zoomScaleNormal="130" workbookViewId="0">
      <pane xSplit="3" ySplit="4" topLeftCell="D5" activePane="bottomRight" state="frozen"/>
      <selection activeCell="C23" sqref="C23"/>
      <selection pane="topRight" activeCell="C23" sqref="C23"/>
      <selection pane="bottomLeft" activeCell="C23" sqref="C23"/>
      <selection pane="bottomRight" activeCell="B2" sqref="B2"/>
    </sheetView>
  </sheetViews>
  <sheetFormatPr baseColWidth="10" defaultColWidth="9.1640625" defaultRowHeight="12" x14ac:dyDescent="0.15"/>
  <cols>
    <col min="1" max="1" width="2" style="2" customWidth="1"/>
    <col min="2" max="2" width="10" style="2" customWidth="1"/>
    <col min="3" max="3" width="26" style="2" customWidth="1"/>
    <col min="4" max="16384" width="9.1640625" style="2"/>
  </cols>
  <sheetData>
    <row r="1" spans="2:3" ht="16" x14ac:dyDescent="0.2">
      <c r="B1" s="1" t="s">
        <v>339</v>
      </c>
    </row>
    <row r="2" spans="2:3" x14ac:dyDescent="0.15">
      <c r="B2" s="3" t="s">
        <v>1</v>
      </c>
    </row>
    <row r="4" spans="2:3" ht="14" thickBot="1" x14ac:dyDescent="0.2">
      <c r="B4" s="4" t="s">
        <v>2</v>
      </c>
      <c r="C4" s="4" t="s">
        <v>3</v>
      </c>
    </row>
    <row r="5" spans="2:3" x14ac:dyDescent="0.15">
      <c r="B5" s="5">
        <v>1</v>
      </c>
      <c r="C5" s="6" t="s">
        <v>235</v>
      </c>
    </row>
    <row r="6" spans="2:3" x14ac:dyDescent="0.15">
      <c r="B6" s="153">
        <f>B5+1</f>
        <v>2</v>
      </c>
      <c r="C6" s="154" t="s">
        <v>12</v>
      </c>
    </row>
    <row r="7" spans="2:3" x14ac:dyDescent="0.15">
      <c r="B7" s="153">
        <f t="shared" ref="B7:B18" si="0">B6+1</f>
        <v>3</v>
      </c>
      <c r="C7" s="154" t="s">
        <v>13</v>
      </c>
    </row>
    <row r="8" spans="2:3" x14ac:dyDescent="0.15">
      <c r="B8" s="153">
        <v>4</v>
      </c>
      <c r="C8" s="154" t="s">
        <v>238</v>
      </c>
    </row>
    <row r="9" spans="2:3" x14ac:dyDescent="0.15">
      <c r="B9" s="5">
        <f>B7+1</f>
        <v>4</v>
      </c>
      <c r="C9" s="6" t="s">
        <v>304</v>
      </c>
    </row>
    <row r="10" spans="2:3" x14ac:dyDescent="0.15">
      <c r="B10" s="153">
        <f t="shared" si="0"/>
        <v>5</v>
      </c>
      <c r="C10" s="154" t="s">
        <v>305</v>
      </c>
    </row>
    <row r="11" spans="2:3" x14ac:dyDescent="0.15">
      <c r="B11" s="153">
        <f t="shared" si="0"/>
        <v>6</v>
      </c>
      <c r="C11" s="154" t="s">
        <v>306</v>
      </c>
    </row>
    <row r="12" spans="2:3" x14ac:dyDescent="0.15">
      <c r="B12" s="153">
        <f t="shared" si="0"/>
        <v>7</v>
      </c>
      <c r="C12" s="154" t="s">
        <v>6</v>
      </c>
    </row>
    <row r="13" spans="2:3" x14ac:dyDescent="0.15">
      <c r="B13" s="5">
        <f t="shared" si="0"/>
        <v>8</v>
      </c>
      <c r="C13" s="6" t="s">
        <v>237</v>
      </c>
    </row>
    <row r="14" spans="2:3" x14ac:dyDescent="0.15">
      <c r="B14" s="153">
        <f>B13+1</f>
        <v>9</v>
      </c>
      <c r="C14" s="154" t="s">
        <v>45</v>
      </c>
    </row>
    <row r="15" spans="2:3" x14ac:dyDescent="0.15">
      <c r="B15" s="153">
        <f>B14+1</f>
        <v>10</v>
      </c>
      <c r="C15" s="154" t="s">
        <v>7</v>
      </c>
    </row>
    <row r="16" spans="2:3" x14ac:dyDescent="0.15">
      <c r="B16" s="153">
        <f>B15+1</f>
        <v>11</v>
      </c>
      <c r="C16" s="154" t="s">
        <v>11</v>
      </c>
    </row>
    <row r="17" spans="2:3" x14ac:dyDescent="0.15">
      <c r="B17" s="5">
        <f t="shared" si="0"/>
        <v>12</v>
      </c>
      <c r="C17" s="6" t="s">
        <v>309</v>
      </c>
    </row>
    <row r="18" spans="2:3" x14ac:dyDescent="0.15">
      <c r="B18" s="153">
        <f t="shared" si="0"/>
        <v>13</v>
      </c>
      <c r="C18" s="154" t="s">
        <v>312</v>
      </c>
    </row>
    <row r="19" spans="2:3" x14ac:dyDescent="0.15">
      <c r="B19" s="5">
        <f>B18+1</f>
        <v>14</v>
      </c>
      <c r="C19" s="6" t="s">
        <v>308</v>
      </c>
    </row>
    <row r="20" spans="2:3" x14ac:dyDescent="0.15">
      <c r="B20" s="153">
        <f>B19+1</f>
        <v>15</v>
      </c>
      <c r="C20" s="154" t="s">
        <v>307</v>
      </c>
    </row>
    <row r="21" spans="2:3" x14ac:dyDescent="0.15">
      <c r="B21" s="153">
        <f>B20+1</f>
        <v>16</v>
      </c>
      <c r="C21" s="154" t="s">
        <v>8</v>
      </c>
    </row>
    <row r="22" spans="2:3" x14ac:dyDescent="0.15">
      <c r="B22" s="153">
        <f>B21+1</f>
        <v>17</v>
      </c>
      <c r="C22" s="154" t="s">
        <v>9</v>
      </c>
    </row>
    <row r="23" spans="2:3" x14ac:dyDescent="0.15">
      <c r="B23" s="153">
        <f>B22+1</f>
        <v>18</v>
      </c>
      <c r="C23" s="154" t="s">
        <v>10</v>
      </c>
    </row>
    <row r="25" spans="2:3" x14ac:dyDescent="0.15">
      <c r="B25" s="7"/>
      <c r="C25" s="8"/>
    </row>
  </sheetData>
  <hyperlinks>
    <hyperlink ref="C6" location="'P&amp;L source'!A1" display="P&amp;L source" xr:uid="{00C91B08-D180-4A48-B43D-9596C62756BE}"/>
    <hyperlink ref="C7" location="'BS source'!A1" display="BS source" xr:uid="{1C664A53-513E-F943-BF50-85DB31188221}"/>
    <hyperlink ref="C10" location="Assumptions!A1" display="Assumptions" xr:uid="{6D3AF92B-7D8C-804A-922E-A095AFAB22CC}"/>
    <hyperlink ref="C11" location="'P&amp;L and BS'!A1" display="P&amp;L and BS" xr:uid="{87905206-F8F7-6447-AD23-C37B5259E9D4}"/>
    <hyperlink ref="C12" location="'Cash Flow'!A1" display="Cash Flow" xr:uid="{2F5E11E5-70B6-7F4B-966E-017AA3B7E878}"/>
    <hyperlink ref="C15" location="'DCF valuation'!A1" display="DCF valuation" xr:uid="{1F6912A0-68DB-3941-8EB1-6021E5C24CBC}"/>
    <hyperlink ref="C16" location="'DCF results'!A1" display="DCF results" xr:uid="{64CC6853-B9B5-A24F-B7D1-5CBA16C1A376}"/>
    <hyperlink ref="C20" location="'Revenues&amp;Ebitda'!A1" display="Revenues&amp;Ebitda" xr:uid="{34E79000-BDD3-6845-B0A2-DF01E3BDA7EB}"/>
    <hyperlink ref="C21" location="'Cash flows'!A1" display="Cash flows" xr:uid="{80114163-304D-9E4F-A83B-C369FCAFCDD4}"/>
    <hyperlink ref="C22" location="'Ebitda bridge'!A1" display="Ebitda bridge" xr:uid="{9B3F6C33-FFB6-F549-B749-934850F173D5}"/>
    <hyperlink ref="C23" location="'Working capital'!A1" display="Working capital" xr:uid="{865DFFB9-C532-D84C-9D5D-F48EE236CB21}"/>
    <hyperlink ref="C8" location="'CF source'!A1" display="CF source" xr:uid="{C4E035E9-19D9-2E47-934F-FD715B1979F2}"/>
    <hyperlink ref="C18" location="'Comps Model'!A1" display="Comps Model" xr:uid="{6BF7C791-CA27-9A4E-8CEC-4EC551A0959D}"/>
    <hyperlink ref="C14" location="WACC!A1" display="WACC" xr:uid="{980E4CCA-BC83-6040-B78A-A29B172BDB47}"/>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82244-238F-BE40-BE26-B2879457F0CF}">
  <sheetPr>
    <tabColor rgb="FF002060"/>
  </sheetPr>
  <dimension ref="B1:B11"/>
  <sheetViews>
    <sheetView zoomScale="130" zoomScaleNormal="130" workbookViewId="0">
      <selection activeCell="E28" sqref="E28"/>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9" t="s">
        <v>235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6B8B-7C95-844B-A740-6403B8FDDB37}">
  <dimension ref="B1:M29"/>
  <sheetViews>
    <sheetView zoomScale="125" zoomScaleNormal="130" workbookViewId="0">
      <selection activeCell="F6" sqref="F6"/>
    </sheetView>
  </sheetViews>
  <sheetFormatPr baseColWidth="10" defaultColWidth="9.1640625" defaultRowHeight="12" x14ac:dyDescent="0.15"/>
  <cols>
    <col min="1" max="1" width="2" style="11" customWidth="1"/>
    <col min="2" max="2" width="27.83203125" style="11" bestFit="1" customWidth="1"/>
    <col min="3" max="3" width="10.5" style="11" customWidth="1"/>
    <col min="4" max="6" width="10.5" style="11" bestFit="1" customWidth="1"/>
    <col min="7" max="16384" width="9.1640625" style="11"/>
  </cols>
  <sheetData>
    <row r="1" spans="2:13" ht="16" x14ac:dyDescent="0.2">
      <c r="B1" s="10" t="s">
        <v>12</v>
      </c>
    </row>
    <row r="2" spans="2:13" x14ac:dyDescent="0.15">
      <c r="B2" s="11" t="s">
        <v>88</v>
      </c>
    </row>
    <row r="3" spans="2:13" ht="26" x14ac:dyDescent="0.15">
      <c r="B3" s="59" t="s">
        <v>87</v>
      </c>
      <c r="C3" s="59"/>
      <c r="D3" s="60" t="s">
        <v>80</v>
      </c>
      <c r="E3" s="60" t="s">
        <v>81</v>
      </c>
      <c r="F3" s="60" t="s">
        <v>82</v>
      </c>
    </row>
    <row r="4" spans="2:13" x14ac:dyDescent="0.15">
      <c r="B4" s="11" t="s">
        <v>66</v>
      </c>
      <c r="D4" s="16">
        <v>2006955</v>
      </c>
      <c r="E4" s="16">
        <v>1653281</v>
      </c>
      <c r="F4" s="16">
        <v>1637299</v>
      </c>
    </row>
    <row r="5" spans="2:13" x14ac:dyDescent="0.15">
      <c r="B5" s="11" t="s">
        <v>86</v>
      </c>
      <c r="D5" s="16">
        <v>259418</v>
      </c>
      <c r="E5" s="16">
        <v>203092</v>
      </c>
      <c r="F5" s="16">
        <v>164375</v>
      </c>
      <c r="J5" s="61"/>
      <c r="K5" s="61"/>
      <c r="L5" s="61"/>
      <c r="M5" s="61"/>
    </row>
    <row r="6" spans="2:13" x14ac:dyDescent="0.15">
      <c r="B6" s="62" t="s">
        <v>89</v>
      </c>
      <c r="C6" s="62"/>
      <c r="D6" s="63">
        <f>D4+D5</f>
        <v>2266373</v>
      </c>
      <c r="E6" s="63">
        <f>E4+E5</f>
        <v>1856373</v>
      </c>
      <c r="F6" s="63">
        <f>F4+F5</f>
        <v>1801674</v>
      </c>
    </row>
    <row r="7" spans="2:13" x14ac:dyDescent="0.15">
      <c r="D7" s="16"/>
      <c r="E7" s="16"/>
      <c r="F7" s="16"/>
    </row>
    <row r="8" spans="2:13" x14ac:dyDescent="0.15">
      <c r="B8" s="11" t="s">
        <v>90</v>
      </c>
      <c r="D8" s="16">
        <v>-341510</v>
      </c>
      <c r="E8" s="16">
        <v>-231795</v>
      </c>
      <c r="F8" s="16">
        <v>-200532</v>
      </c>
      <c r="H8" s="83"/>
    </row>
    <row r="9" spans="2:13" x14ac:dyDescent="0.15">
      <c r="B9" s="11" t="s">
        <v>91</v>
      </c>
      <c r="D9" s="16">
        <v>-490690</v>
      </c>
      <c r="E9" s="16">
        <v>-471225</v>
      </c>
      <c r="F9" s="16">
        <v>-509430</v>
      </c>
      <c r="H9" s="83"/>
    </row>
    <row r="10" spans="2:13" x14ac:dyDescent="0.15">
      <c r="B10" s="11" t="s">
        <v>92</v>
      </c>
      <c r="D10" s="16">
        <v>-101912</v>
      </c>
      <c r="E10" s="16">
        <v>-96523</v>
      </c>
      <c r="F10" s="16">
        <v>-110275</v>
      </c>
      <c r="H10" s="83"/>
    </row>
    <row r="11" spans="2:13" x14ac:dyDescent="0.15">
      <c r="B11" s="11" t="s">
        <v>93</v>
      </c>
      <c r="D11" s="16">
        <v>-83700</v>
      </c>
      <c r="E11" s="16">
        <v>-76890</v>
      </c>
      <c r="F11" s="16">
        <v>-89235</v>
      </c>
      <c r="H11" s="83"/>
    </row>
    <row r="12" spans="2:13" x14ac:dyDescent="0.15">
      <c r="B12" s="11" t="s">
        <v>94</v>
      </c>
      <c r="D12" s="16">
        <v>-8447</v>
      </c>
      <c r="E12" s="16">
        <v>-9416</v>
      </c>
      <c r="F12" s="16">
        <v>-8552</v>
      </c>
      <c r="H12" s="83"/>
    </row>
    <row r="13" spans="2:13" x14ac:dyDescent="0.15">
      <c r="B13" s="11" t="s">
        <v>95</v>
      </c>
      <c r="D13" s="16">
        <v>-4419</v>
      </c>
      <c r="E13" s="16">
        <v>-5197</v>
      </c>
      <c r="F13" s="16">
        <v>-5816</v>
      </c>
      <c r="H13" s="83"/>
    </row>
    <row r="14" spans="2:13" x14ac:dyDescent="0.15">
      <c r="B14" s="11" t="s">
        <v>96</v>
      </c>
      <c r="D14" s="16">
        <v>-91618</v>
      </c>
      <c r="E14" s="16">
        <v>-97040</v>
      </c>
      <c r="F14" s="16">
        <v>-103209</v>
      </c>
      <c r="H14" s="83"/>
    </row>
    <row r="15" spans="2:13" x14ac:dyDescent="0.15">
      <c r="B15" s="62" t="s">
        <v>97</v>
      </c>
      <c r="C15" s="62"/>
      <c r="D15" s="63">
        <f>SUM(D8:D14)</f>
        <v>-1122296</v>
      </c>
      <c r="E15" s="63">
        <f>SUM(E8:E14)</f>
        <v>-988086</v>
      </c>
      <c r="F15" s="63">
        <f>SUM(F8:F14)</f>
        <v>-1027049</v>
      </c>
    </row>
    <row r="16" spans="2:13" x14ac:dyDescent="0.15">
      <c r="B16" s="62" t="s">
        <v>98</v>
      </c>
      <c r="C16" s="62"/>
      <c r="D16" s="63">
        <f>D6+D15</f>
        <v>1144077</v>
      </c>
      <c r="E16" s="63">
        <f>E6+E15</f>
        <v>868287</v>
      </c>
      <c r="F16" s="63">
        <f>F6+F15</f>
        <v>774625</v>
      </c>
    </row>
    <row r="17" spans="2:11" x14ac:dyDescent="0.15">
      <c r="B17" s="68"/>
      <c r="C17" s="68"/>
      <c r="D17" s="69"/>
      <c r="E17" s="69"/>
      <c r="F17" s="69"/>
    </row>
    <row r="18" spans="2:11" x14ac:dyDescent="0.15">
      <c r="B18" s="11" t="s">
        <v>99</v>
      </c>
      <c r="D18" s="16">
        <v>2873</v>
      </c>
      <c r="E18" s="16">
        <v>-4001</v>
      </c>
      <c r="F18" s="16">
        <v>-4966</v>
      </c>
    </row>
    <row r="19" spans="2:11" x14ac:dyDescent="0.15">
      <c r="B19" s="11" t="s">
        <v>100</v>
      </c>
      <c r="D19" s="16">
        <v>14894</v>
      </c>
      <c r="E19" s="16">
        <v>31967</v>
      </c>
      <c r="F19" s="16">
        <v>22891</v>
      </c>
      <c r="I19" s="82"/>
    </row>
    <row r="20" spans="2:11" x14ac:dyDescent="0.15">
      <c r="B20" s="11" t="s">
        <v>101</v>
      </c>
      <c r="D20" s="16">
        <v>-8882</v>
      </c>
      <c r="E20" s="16">
        <v>-8186</v>
      </c>
      <c r="F20" s="16">
        <v>-10540</v>
      </c>
    </row>
    <row r="21" spans="2:11" x14ac:dyDescent="0.15">
      <c r="B21" s="62" t="s">
        <v>102</v>
      </c>
      <c r="C21" s="62"/>
      <c r="D21" s="63">
        <f>D16+SUM(D18:D20)</f>
        <v>1152962</v>
      </c>
      <c r="E21" s="63">
        <f>E16+SUM(E18:E20)</f>
        <v>888067</v>
      </c>
      <c r="F21" s="63">
        <f>F16+SUM(F18:F20)</f>
        <v>782010</v>
      </c>
    </row>
    <row r="22" spans="2:11" x14ac:dyDescent="0.15">
      <c r="B22" s="68" t="s">
        <v>103</v>
      </c>
      <c r="D22" s="16">
        <v>-548957</v>
      </c>
      <c r="E22" s="16">
        <v>-433303</v>
      </c>
      <c r="F22" s="16">
        <v>-383588</v>
      </c>
    </row>
    <row r="23" spans="2:11" ht="13" thickBot="1" x14ac:dyDescent="0.2">
      <c r="B23" s="64" t="s">
        <v>67</v>
      </c>
      <c r="C23" s="64"/>
      <c r="D23" s="65">
        <f>D21+D22</f>
        <v>604005</v>
      </c>
      <c r="E23" s="65">
        <f>E21+E22</f>
        <v>454764</v>
      </c>
      <c r="F23" s="65">
        <f>F21+F22</f>
        <v>398422</v>
      </c>
    </row>
    <row r="24" spans="2:11" x14ac:dyDescent="0.15">
      <c r="D24" s="16"/>
      <c r="E24" s="16"/>
      <c r="F24" s="16"/>
    </row>
    <row r="25" spans="2:11" x14ac:dyDescent="0.15">
      <c r="D25" s="16"/>
      <c r="E25" s="16"/>
      <c r="F25" s="16"/>
      <c r="H25" s="83"/>
      <c r="I25" s="83"/>
      <c r="J25" s="83"/>
      <c r="K25" s="83"/>
    </row>
    <row r="26" spans="2:11" x14ac:dyDescent="0.15">
      <c r="B26" s="68"/>
      <c r="C26" s="68"/>
      <c r="D26" s="69"/>
      <c r="E26" s="69"/>
      <c r="F26" s="69"/>
    </row>
    <row r="27" spans="2:11" ht="26" customHeight="1" x14ac:dyDescent="0.15">
      <c r="B27" s="227" t="s">
        <v>149</v>
      </c>
      <c r="C27" s="227"/>
      <c r="D27" s="84">
        <f>SUM(D8,D9,D10)</f>
        <v>-934112</v>
      </c>
      <c r="E27" s="84">
        <f t="shared" ref="E27:F27" si="0">SUM(E8,E9,E10)</f>
        <v>-799543</v>
      </c>
      <c r="F27" s="84">
        <f t="shared" si="0"/>
        <v>-820237</v>
      </c>
    </row>
    <row r="28" spans="2:11" x14ac:dyDescent="0.15">
      <c r="B28" s="228" t="s">
        <v>150</v>
      </c>
      <c r="C28" s="228"/>
      <c r="D28" s="78">
        <f>SUM(D11,D12,D13)</f>
        <v>-96566</v>
      </c>
      <c r="E28" s="78">
        <f t="shared" ref="E28:F28" si="1">SUM(E11,E12,E13)</f>
        <v>-91503</v>
      </c>
      <c r="F28" s="78">
        <f t="shared" si="1"/>
        <v>-103603</v>
      </c>
    </row>
    <row r="29" spans="2:11" ht="25" customHeight="1" x14ac:dyDescent="0.15">
      <c r="B29" s="227" t="s">
        <v>151</v>
      </c>
      <c r="C29" s="227"/>
      <c r="D29" s="81">
        <f>SUM(D18:D19)</f>
        <v>17767</v>
      </c>
      <c r="E29" s="81">
        <f t="shared" ref="E29:F29" si="2">SUM(E18:E19)</f>
        <v>27966</v>
      </c>
      <c r="F29" s="81">
        <f t="shared" si="2"/>
        <v>17925</v>
      </c>
    </row>
  </sheetData>
  <mergeCells count="3">
    <mergeCell ref="B27:C27"/>
    <mergeCell ref="B28:C28"/>
    <mergeCell ref="B29:C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A137-D539-A74E-AEEA-9723308302DE}">
  <dimension ref="B1:L43"/>
  <sheetViews>
    <sheetView zoomScaleNormal="130" workbookViewId="0">
      <selection activeCell="I27" sqref="I27"/>
    </sheetView>
  </sheetViews>
  <sheetFormatPr baseColWidth="10" defaultColWidth="9.1640625" defaultRowHeight="12" x14ac:dyDescent="0.15"/>
  <cols>
    <col min="1" max="1" width="2" style="11" customWidth="1"/>
    <col min="2" max="2" width="26.1640625" style="11" customWidth="1"/>
    <col min="3" max="3" width="14.1640625" style="11" customWidth="1"/>
    <col min="4" max="4" width="10.83203125" style="11" customWidth="1"/>
    <col min="5" max="5" width="22.33203125" style="11" customWidth="1"/>
    <col min="6" max="6" width="19.1640625" style="11" customWidth="1"/>
    <col min="7" max="7" width="9.1640625" style="11"/>
    <col min="8" max="8" width="36.83203125" style="11" customWidth="1"/>
    <col min="9" max="9" width="9.1640625" style="11"/>
    <col min="10" max="10" width="10" style="11" bestFit="1" customWidth="1"/>
    <col min="11" max="11" width="10.5" style="11" customWidth="1"/>
    <col min="12" max="12" width="11.1640625" style="11" customWidth="1"/>
    <col min="13" max="16384" width="9.1640625" style="11"/>
  </cols>
  <sheetData>
    <row r="1" spans="2:12" ht="16" x14ac:dyDescent="0.2">
      <c r="B1" s="10" t="s">
        <v>13</v>
      </c>
    </row>
    <row r="2" spans="2:12" x14ac:dyDescent="0.15">
      <c r="B2" s="11" t="s">
        <v>88</v>
      </c>
    </row>
    <row r="3" spans="2:12" ht="26" x14ac:dyDescent="0.15">
      <c r="B3" s="59" t="s">
        <v>87</v>
      </c>
      <c r="C3" s="59"/>
      <c r="D3" s="60" t="s">
        <v>83</v>
      </c>
      <c r="E3" s="60" t="s">
        <v>84</v>
      </c>
      <c r="F3" s="60" t="s">
        <v>85</v>
      </c>
      <c r="H3" s="59" t="s">
        <v>87</v>
      </c>
      <c r="I3" s="59"/>
      <c r="J3" s="60" t="s">
        <v>83</v>
      </c>
      <c r="K3" s="60" t="s">
        <v>84</v>
      </c>
      <c r="L3" s="60" t="s">
        <v>85</v>
      </c>
    </row>
    <row r="4" spans="2:12" x14ac:dyDescent="0.15">
      <c r="B4" s="11" t="s">
        <v>106</v>
      </c>
      <c r="D4" s="16">
        <v>1303266</v>
      </c>
      <c r="E4" s="16">
        <v>1384717</v>
      </c>
      <c r="F4" s="16">
        <v>1494318</v>
      </c>
      <c r="G4" s="16"/>
      <c r="H4" s="16" t="s">
        <v>68</v>
      </c>
      <c r="I4" s="16"/>
      <c r="J4" s="16">
        <v>75000</v>
      </c>
      <c r="K4" s="16">
        <v>90000</v>
      </c>
      <c r="L4" s="16">
        <v>90000</v>
      </c>
    </row>
    <row r="5" spans="2:12" x14ac:dyDescent="0.15">
      <c r="B5" s="89" t="s">
        <v>37</v>
      </c>
      <c r="D5" s="16">
        <v>159328</v>
      </c>
      <c r="E5" s="16">
        <v>164554</v>
      </c>
      <c r="F5" s="16">
        <v>164581</v>
      </c>
      <c r="G5" s="16"/>
      <c r="H5" s="16" t="s">
        <v>117</v>
      </c>
      <c r="I5" s="16"/>
      <c r="J5" s="16">
        <v>26981</v>
      </c>
      <c r="K5" s="16">
        <v>26981</v>
      </c>
      <c r="L5" s="16">
        <v>26981</v>
      </c>
    </row>
    <row r="6" spans="2:12" x14ac:dyDescent="0.15">
      <c r="B6" s="89" t="s">
        <v>107</v>
      </c>
      <c r="D6" s="16">
        <v>72196</v>
      </c>
      <c r="E6" s="16">
        <v>69474</v>
      </c>
      <c r="F6" s="16">
        <v>65261</v>
      </c>
      <c r="G6" s="16"/>
      <c r="H6" s="16" t="s">
        <v>118</v>
      </c>
      <c r="I6" s="16"/>
      <c r="J6" s="16">
        <v>-2236</v>
      </c>
      <c r="K6" s="16">
        <v>-1362</v>
      </c>
      <c r="L6" s="16">
        <v>-3943</v>
      </c>
    </row>
    <row r="7" spans="2:12" x14ac:dyDescent="0.15">
      <c r="B7" s="89" t="s">
        <v>108</v>
      </c>
      <c r="D7" s="16">
        <v>18093</v>
      </c>
      <c r="E7" s="16">
        <v>20560</v>
      </c>
      <c r="F7" s="16">
        <v>20659</v>
      </c>
      <c r="G7" s="16"/>
      <c r="H7" s="69" t="s">
        <v>119</v>
      </c>
      <c r="I7" s="16"/>
      <c r="J7" s="16"/>
      <c r="K7" s="16"/>
      <c r="L7" s="16"/>
    </row>
    <row r="8" spans="2:12" x14ac:dyDescent="0.15">
      <c r="B8" s="89" t="s">
        <v>109</v>
      </c>
      <c r="D8" s="16">
        <v>23034</v>
      </c>
      <c r="E8" s="16">
        <v>24661</v>
      </c>
      <c r="F8" s="16">
        <v>27365</v>
      </c>
      <c r="G8" s="16"/>
      <c r="H8" s="16" t="s">
        <v>120</v>
      </c>
      <c r="I8" s="16"/>
      <c r="J8" s="16">
        <v>1339892</v>
      </c>
      <c r="K8" s="16">
        <v>1411474</v>
      </c>
      <c r="L8" s="16">
        <v>1342442</v>
      </c>
    </row>
    <row r="9" spans="2:12" x14ac:dyDescent="0.15">
      <c r="B9" s="90" t="s">
        <v>110</v>
      </c>
      <c r="D9" s="16">
        <v>32418</v>
      </c>
      <c r="E9" s="16">
        <v>48265</v>
      </c>
      <c r="F9" s="16">
        <v>46844</v>
      </c>
      <c r="G9" s="16"/>
      <c r="H9" s="16" t="s">
        <v>121</v>
      </c>
      <c r="I9" s="16"/>
      <c r="J9" s="16">
        <v>6000</v>
      </c>
      <c r="K9" s="16">
        <v>6000</v>
      </c>
      <c r="L9" s="16">
        <v>6000</v>
      </c>
    </row>
    <row r="10" spans="2:12" x14ac:dyDescent="0.15">
      <c r="B10" s="89" t="s">
        <v>111</v>
      </c>
      <c r="D10" s="16">
        <v>26758</v>
      </c>
      <c r="E10" s="16">
        <v>33974</v>
      </c>
      <c r="F10" s="16">
        <v>39206</v>
      </c>
      <c r="G10" s="16"/>
      <c r="H10" s="16" t="s">
        <v>122</v>
      </c>
      <c r="I10" s="16"/>
      <c r="J10" s="16">
        <v>3279</v>
      </c>
      <c r="K10" s="16">
        <v>1514</v>
      </c>
      <c r="L10" s="16">
        <v>-3251</v>
      </c>
    </row>
    <row r="11" spans="2:12" x14ac:dyDescent="0.15">
      <c r="D11" s="16"/>
      <c r="E11" s="16"/>
      <c r="F11" s="16"/>
      <c r="G11" s="16"/>
      <c r="H11" s="69" t="s">
        <v>123</v>
      </c>
      <c r="I11" s="16"/>
      <c r="J11" s="16">
        <v>217231</v>
      </c>
      <c r="K11" s="16">
        <v>202485</v>
      </c>
      <c r="L11" s="16">
        <v>193126</v>
      </c>
    </row>
    <row r="12" spans="2:12" ht="13" thickBot="1" x14ac:dyDescent="0.2">
      <c r="B12" s="64" t="s">
        <v>104</v>
      </c>
      <c r="C12" s="66"/>
      <c r="D12" s="65">
        <f>SUM(D4:D10)</f>
        <v>1635093</v>
      </c>
      <c r="E12" s="65">
        <f t="shared" ref="E12:F12" si="0">SUM(E4:E10)</f>
        <v>1746205</v>
      </c>
      <c r="F12" s="65">
        <f t="shared" si="0"/>
        <v>1858234</v>
      </c>
      <c r="G12" s="16"/>
      <c r="H12" s="65" t="s">
        <v>69</v>
      </c>
      <c r="I12" s="67"/>
      <c r="J12" s="65">
        <f>SUM(J4:J11)</f>
        <v>1666147</v>
      </c>
      <c r="K12" s="65">
        <f t="shared" ref="K12:L12" si="1">SUM(K4:K11)</f>
        <v>1737092</v>
      </c>
      <c r="L12" s="65">
        <f t="shared" si="1"/>
        <v>1651355</v>
      </c>
    </row>
    <row r="13" spans="2:12" x14ac:dyDescent="0.15">
      <c r="D13" s="16"/>
      <c r="E13" s="16"/>
      <c r="F13" s="16"/>
      <c r="G13" s="16"/>
      <c r="H13" s="16"/>
      <c r="I13" s="16"/>
      <c r="J13" s="16"/>
      <c r="K13" s="16"/>
      <c r="L13" s="16"/>
    </row>
    <row r="14" spans="2:12" x14ac:dyDescent="0.15">
      <c r="B14" s="11" t="s">
        <v>112</v>
      </c>
      <c r="D14" s="16">
        <v>100528</v>
      </c>
      <c r="E14" s="16">
        <v>85951</v>
      </c>
      <c r="F14" s="16">
        <v>83728</v>
      </c>
      <c r="G14" s="16"/>
      <c r="H14" s="88" t="s">
        <v>124</v>
      </c>
      <c r="I14" s="16"/>
      <c r="J14" s="16">
        <v>318380</v>
      </c>
      <c r="K14" s="16">
        <v>226481</v>
      </c>
      <c r="L14" s="16">
        <v>261733</v>
      </c>
    </row>
    <row r="15" spans="2:12" x14ac:dyDescent="0.15">
      <c r="B15" s="11" t="s">
        <v>43</v>
      </c>
      <c r="D15" s="16">
        <v>164442</v>
      </c>
      <c r="E15" s="16">
        <v>163919</v>
      </c>
      <c r="F15" s="16">
        <v>167884</v>
      </c>
      <c r="G15" s="16"/>
      <c r="H15" s="91" t="s">
        <v>125</v>
      </c>
      <c r="I15" s="16"/>
      <c r="J15" s="16">
        <v>122311</v>
      </c>
      <c r="K15" s="16">
        <v>142449</v>
      </c>
      <c r="L15" s="16">
        <v>153369</v>
      </c>
    </row>
    <row r="16" spans="2:12" x14ac:dyDescent="0.15">
      <c r="B16" s="90" t="s">
        <v>113</v>
      </c>
      <c r="D16" s="16">
        <v>54545</v>
      </c>
      <c r="E16" s="16">
        <v>49378</v>
      </c>
      <c r="F16" s="16">
        <v>38274</v>
      </c>
      <c r="G16" s="16"/>
      <c r="H16" s="91" t="s">
        <v>109</v>
      </c>
      <c r="I16" s="16"/>
      <c r="J16" s="16">
        <v>26923</v>
      </c>
      <c r="K16" s="16">
        <v>26147</v>
      </c>
      <c r="L16" s="16">
        <v>26866</v>
      </c>
    </row>
    <row r="17" spans="2:12" x14ac:dyDescent="0.15">
      <c r="B17" s="90" t="s">
        <v>110</v>
      </c>
      <c r="D17" s="16">
        <v>31054</v>
      </c>
      <c r="E17" s="16">
        <v>33747</v>
      </c>
      <c r="F17" s="16">
        <v>42388</v>
      </c>
      <c r="G17" s="16"/>
      <c r="H17" s="91" t="s">
        <v>126</v>
      </c>
      <c r="I17" s="16"/>
      <c r="J17" s="16">
        <v>27777</v>
      </c>
      <c r="K17" s="16">
        <v>28205</v>
      </c>
      <c r="L17" s="16">
        <v>31044</v>
      </c>
    </row>
    <row r="18" spans="2:12" ht="13" thickBot="1" x14ac:dyDescent="0.2">
      <c r="B18" s="90" t="s">
        <v>114</v>
      </c>
      <c r="D18" s="16">
        <v>281215</v>
      </c>
      <c r="E18" s="16">
        <v>184343</v>
      </c>
      <c r="F18" s="16">
        <v>13186</v>
      </c>
      <c r="G18" s="16"/>
      <c r="H18" s="64" t="s">
        <v>127</v>
      </c>
      <c r="I18" s="66"/>
      <c r="J18" s="65">
        <f>SUM(J14:J17)</f>
        <v>495391</v>
      </c>
      <c r="K18" s="65">
        <f t="shared" ref="K18:L18" si="2">SUM(K14:K17)</f>
        <v>423282</v>
      </c>
      <c r="L18" s="65">
        <f t="shared" si="2"/>
        <v>473012</v>
      </c>
    </row>
    <row r="19" spans="2:12" x14ac:dyDescent="0.15">
      <c r="B19" s="110" t="s">
        <v>115</v>
      </c>
      <c r="D19" s="16">
        <v>226047</v>
      </c>
      <c r="E19" s="16">
        <v>198973</v>
      </c>
      <c r="F19" s="16">
        <v>216642</v>
      </c>
      <c r="G19" s="16"/>
      <c r="H19" s="16"/>
      <c r="I19" s="16"/>
      <c r="J19" s="16"/>
      <c r="K19" s="16"/>
      <c r="L19" s="16"/>
    </row>
    <row r="20" spans="2:12" ht="13" thickBot="1" x14ac:dyDescent="0.2">
      <c r="B20" s="64" t="s">
        <v>105</v>
      </c>
      <c r="C20" s="66"/>
      <c r="D20" s="65">
        <f>SUM(D14:D19)</f>
        <v>857831</v>
      </c>
      <c r="E20" s="65">
        <f t="shared" ref="E20:F20" si="3">SUM(E14:E19)</f>
        <v>716311</v>
      </c>
      <c r="F20" s="65">
        <f t="shared" si="3"/>
        <v>562102</v>
      </c>
      <c r="G20" s="16"/>
      <c r="H20" s="16" t="s">
        <v>128</v>
      </c>
      <c r="I20" s="16"/>
      <c r="J20" s="16">
        <v>135390</v>
      </c>
      <c r="K20" s="16">
        <v>151553</v>
      </c>
      <c r="L20" s="16">
        <v>157467</v>
      </c>
    </row>
    <row r="21" spans="2:12" x14ac:dyDescent="0.15">
      <c r="D21" s="16"/>
      <c r="E21" s="16"/>
      <c r="F21" s="16"/>
      <c r="G21" s="16"/>
      <c r="H21" s="69" t="s">
        <v>129</v>
      </c>
      <c r="I21" s="16"/>
      <c r="J21" s="16"/>
      <c r="K21" s="16"/>
      <c r="L21" s="16"/>
    </row>
    <row r="22" spans="2:12" x14ac:dyDescent="0.15">
      <c r="B22" s="11" t="s">
        <v>116</v>
      </c>
      <c r="D22" s="16">
        <v>0</v>
      </c>
      <c r="E22" s="16">
        <v>15424</v>
      </c>
      <c r="F22" s="16">
        <v>3294</v>
      </c>
      <c r="G22" s="16"/>
      <c r="H22" s="111" t="s">
        <v>103</v>
      </c>
      <c r="I22" s="16"/>
      <c r="J22" s="16">
        <v>104978</v>
      </c>
      <c r="K22" s="16">
        <v>82539</v>
      </c>
      <c r="L22" s="16">
        <v>71951</v>
      </c>
    </row>
    <row r="23" spans="2:12" x14ac:dyDescent="0.15">
      <c r="D23" s="16"/>
      <c r="E23" s="16"/>
      <c r="F23" s="16"/>
      <c r="G23" s="16"/>
      <c r="H23" s="111" t="s">
        <v>130</v>
      </c>
      <c r="I23" s="16"/>
      <c r="J23" s="16">
        <v>16254</v>
      </c>
      <c r="K23" s="16">
        <v>14107</v>
      </c>
      <c r="L23" s="16">
        <v>12288</v>
      </c>
    </row>
    <row r="24" spans="2:12" ht="13" thickBot="1" x14ac:dyDescent="0.2">
      <c r="B24" s="64" t="s">
        <v>39</v>
      </c>
      <c r="C24" s="66"/>
      <c r="D24" s="65">
        <f>D12+D20+D22</f>
        <v>2492924</v>
      </c>
      <c r="E24" s="65">
        <f t="shared" ref="E24:F24" si="4">E12+E20+E22</f>
        <v>2477940</v>
      </c>
      <c r="F24" s="65">
        <f t="shared" si="4"/>
        <v>2423630</v>
      </c>
      <c r="G24" s="16"/>
      <c r="H24" s="88" t="s">
        <v>124</v>
      </c>
      <c r="I24" s="16"/>
      <c r="J24" s="16">
        <v>74764</v>
      </c>
      <c r="K24" s="16">
        <v>63666</v>
      </c>
      <c r="L24" s="16">
        <v>57557</v>
      </c>
    </row>
    <row r="25" spans="2:12" x14ac:dyDescent="0.15">
      <c r="D25" s="16"/>
      <c r="E25" s="16"/>
      <c r="F25" s="16"/>
      <c r="G25" s="16"/>
      <c r="H25" s="62" t="s">
        <v>131</v>
      </c>
      <c r="I25" s="70"/>
      <c r="J25" s="63">
        <f>SUM(J20:J24)</f>
        <v>331386</v>
      </c>
      <c r="K25" s="63">
        <f>SUM(K20:K24)</f>
        <v>311865</v>
      </c>
      <c r="L25" s="63">
        <f>SUM(L20:L24)</f>
        <v>299263</v>
      </c>
    </row>
    <row r="26" spans="2:12" x14ac:dyDescent="0.15">
      <c r="D26" s="16"/>
      <c r="E26" s="16"/>
      <c r="F26" s="16"/>
      <c r="G26" s="16"/>
      <c r="H26" s="16"/>
      <c r="I26" s="16"/>
      <c r="J26" s="16"/>
      <c r="K26" s="16"/>
      <c r="L26" s="16"/>
    </row>
    <row r="27" spans="2:12" x14ac:dyDescent="0.15">
      <c r="B27" s="229" t="s">
        <v>165</v>
      </c>
      <c r="C27" s="229"/>
      <c r="D27" s="16"/>
      <c r="E27" s="229" t="s">
        <v>166</v>
      </c>
      <c r="F27" s="229"/>
      <c r="G27" s="16"/>
      <c r="H27" s="11" t="s">
        <v>132</v>
      </c>
      <c r="J27" s="11">
        <v>0</v>
      </c>
      <c r="K27" s="11">
        <v>5701</v>
      </c>
      <c r="L27" s="11">
        <v>0</v>
      </c>
    </row>
    <row r="28" spans="2:12" x14ac:dyDescent="0.15">
      <c r="B28" s="232" t="s">
        <v>37</v>
      </c>
      <c r="C28" s="232"/>
      <c r="D28" s="16"/>
      <c r="E28" s="230" t="s">
        <v>147</v>
      </c>
      <c r="F28" s="230"/>
      <c r="G28" s="16"/>
      <c r="H28" s="68"/>
      <c r="J28" s="69"/>
      <c r="K28" s="69"/>
      <c r="L28" s="69"/>
    </row>
    <row r="29" spans="2:12" ht="13" thickBot="1" x14ac:dyDescent="0.2">
      <c r="B29" s="232" t="s">
        <v>107</v>
      </c>
      <c r="C29" s="232"/>
      <c r="D29" s="16"/>
      <c r="E29" s="230" t="s">
        <v>148</v>
      </c>
      <c r="F29" s="230"/>
      <c r="G29" s="16"/>
      <c r="H29" s="65" t="s">
        <v>70</v>
      </c>
      <c r="I29" s="67"/>
      <c r="J29" s="65">
        <f>J18+J25+J27</f>
        <v>826777</v>
      </c>
      <c r="K29" s="65">
        <f>K18+K25+K27</f>
        <v>740848</v>
      </c>
      <c r="L29" s="65">
        <f>L18+L25+L27</f>
        <v>772275</v>
      </c>
    </row>
    <row r="30" spans="2:12" x14ac:dyDescent="0.15">
      <c r="B30" s="232" t="s">
        <v>108</v>
      </c>
      <c r="C30" s="232"/>
      <c r="D30" s="16"/>
      <c r="E30" s="16"/>
      <c r="F30" s="16"/>
      <c r="G30" s="16"/>
      <c r="H30" s="16"/>
      <c r="I30" s="16"/>
      <c r="J30" s="16"/>
      <c r="K30" s="16"/>
      <c r="L30" s="16"/>
    </row>
    <row r="31" spans="2:12" ht="13" thickBot="1" x14ac:dyDescent="0.2">
      <c r="B31" s="232" t="s">
        <v>109</v>
      </c>
      <c r="C31" s="232"/>
      <c r="E31" s="231" t="s">
        <v>167</v>
      </c>
      <c r="F31" s="231"/>
      <c r="G31" s="16"/>
      <c r="H31" s="65" t="s">
        <v>71</v>
      </c>
      <c r="I31" s="67"/>
      <c r="J31" s="65">
        <f>J12+J29</f>
        <v>2492924</v>
      </c>
      <c r="K31" s="65">
        <f t="shared" ref="K31:L31" si="5">K12+K29</f>
        <v>2477940</v>
      </c>
      <c r="L31" s="65">
        <f t="shared" si="5"/>
        <v>2423630</v>
      </c>
    </row>
    <row r="32" spans="2:12" x14ac:dyDescent="0.15">
      <c r="B32" s="232" t="s">
        <v>111</v>
      </c>
      <c r="C32" s="232"/>
      <c r="E32" s="232" t="s">
        <v>125</v>
      </c>
      <c r="F32" s="232"/>
    </row>
    <row r="33" spans="2:12" x14ac:dyDescent="0.15">
      <c r="E33" s="232" t="s">
        <v>109</v>
      </c>
      <c r="F33" s="232"/>
    </row>
    <row r="34" spans="2:12" x14ac:dyDescent="0.15">
      <c r="B34" s="231" t="s">
        <v>169</v>
      </c>
      <c r="C34" s="231"/>
      <c r="E34" s="232" t="s">
        <v>126</v>
      </c>
      <c r="F34" s="232"/>
      <c r="J34" s="11">
        <f>J31-D24</f>
        <v>0</v>
      </c>
      <c r="K34" s="11">
        <f>K31-E24</f>
        <v>0</v>
      </c>
      <c r="L34" s="11">
        <f>L31-F24</f>
        <v>0</v>
      </c>
    </row>
    <row r="35" spans="2:12" x14ac:dyDescent="0.15">
      <c r="B35" s="232" t="s">
        <v>113</v>
      </c>
      <c r="C35" s="232"/>
      <c r="E35" s="236" t="s">
        <v>132</v>
      </c>
      <c r="F35" s="236"/>
    </row>
    <row r="36" spans="2:12" ht="26" customHeight="1" x14ac:dyDescent="0.15">
      <c r="B36" s="232" t="s">
        <v>168</v>
      </c>
      <c r="C36" s="232"/>
      <c r="H36" s="228" t="s">
        <v>164</v>
      </c>
      <c r="I36" s="228"/>
      <c r="J36" s="11">
        <f>J14+J24</f>
        <v>393144</v>
      </c>
      <c r="K36" s="11">
        <f>K14+K24</f>
        <v>290147</v>
      </c>
      <c r="L36" s="11">
        <f>L14+L24</f>
        <v>319290</v>
      </c>
    </row>
    <row r="37" spans="2:12" x14ac:dyDescent="0.15">
      <c r="B37" s="237" t="s">
        <v>114</v>
      </c>
      <c r="C37" s="237"/>
      <c r="E37" s="234" t="s">
        <v>198</v>
      </c>
      <c r="F37" s="234"/>
      <c r="H37" s="230" t="s">
        <v>147</v>
      </c>
      <c r="I37" s="230"/>
    </row>
    <row r="38" spans="2:12" x14ac:dyDescent="0.15">
      <c r="B38" s="232" t="s">
        <v>116</v>
      </c>
      <c r="C38" s="232"/>
      <c r="E38" s="232" t="s">
        <v>103</v>
      </c>
      <c r="F38" s="232"/>
      <c r="H38" s="230" t="s">
        <v>148</v>
      </c>
      <c r="I38" s="230"/>
    </row>
    <row r="39" spans="2:12" x14ac:dyDescent="0.15">
      <c r="E39" s="230" t="s">
        <v>130</v>
      </c>
      <c r="F39" s="230"/>
      <c r="I39" s="83"/>
      <c r="J39" s="83"/>
      <c r="K39" s="83"/>
    </row>
    <row r="42" spans="2:12" x14ac:dyDescent="0.15">
      <c r="B42" s="235"/>
      <c r="C42" s="235"/>
    </row>
    <row r="43" spans="2:12" x14ac:dyDescent="0.15">
      <c r="B43" s="233"/>
      <c r="C43" s="233"/>
    </row>
  </sheetData>
  <mergeCells count="27">
    <mergeCell ref="B35:C35"/>
    <mergeCell ref="B31:C31"/>
    <mergeCell ref="B29:C29"/>
    <mergeCell ref="B27:C27"/>
    <mergeCell ref="B28:C28"/>
    <mergeCell ref="B30:C30"/>
    <mergeCell ref="H36:I36"/>
    <mergeCell ref="H37:I37"/>
    <mergeCell ref="H38:I38"/>
    <mergeCell ref="B32:C32"/>
    <mergeCell ref="B43:C43"/>
    <mergeCell ref="E33:F33"/>
    <mergeCell ref="E34:F34"/>
    <mergeCell ref="E37:F37"/>
    <mergeCell ref="E38:F38"/>
    <mergeCell ref="E39:F39"/>
    <mergeCell ref="B36:C36"/>
    <mergeCell ref="B42:C42"/>
    <mergeCell ref="B38:C38"/>
    <mergeCell ref="E35:F35"/>
    <mergeCell ref="B37:C37"/>
    <mergeCell ref="B34:C34"/>
    <mergeCell ref="E27:F27"/>
    <mergeCell ref="E28:F28"/>
    <mergeCell ref="E29:F29"/>
    <mergeCell ref="E31:F31"/>
    <mergeCell ref="E32:F3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D0EB1-CA9E-6D44-BA82-CDC5EBFFC5FA}">
  <dimension ref="B1:L55"/>
  <sheetViews>
    <sheetView topLeftCell="A28" zoomScale="150" zoomScaleNormal="130" workbookViewId="0">
      <selection activeCell="F44" sqref="F44"/>
    </sheetView>
  </sheetViews>
  <sheetFormatPr baseColWidth="10" defaultColWidth="9.1640625" defaultRowHeight="12" x14ac:dyDescent="0.15"/>
  <cols>
    <col min="1" max="1" width="2" style="11" customWidth="1"/>
    <col min="2" max="2" width="51" style="11" bestFit="1" customWidth="1"/>
    <col min="3" max="3" width="14.1640625" style="11" customWidth="1"/>
    <col min="4" max="4" width="10.83203125" style="11" customWidth="1"/>
    <col min="5" max="5" width="22.33203125" style="11" customWidth="1"/>
    <col min="6" max="6" width="19.1640625" style="11" customWidth="1"/>
    <col min="7" max="7" width="9.1640625" style="11"/>
    <col min="8" max="8" width="36.83203125" style="11" customWidth="1"/>
    <col min="9" max="9" width="9.1640625" style="11"/>
    <col min="10" max="10" width="10" style="11" bestFit="1" customWidth="1"/>
    <col min="11" max="11" width="10.5" style="11" customWidth="1"/>
    <col min="12" max="12" width="11.1640625" style="11" customWidth="1"/>
    <col min="13" max="16384" width="9.1640625" style="11"/>
  </cols>
  <sheetData>
    <row r="1" spans="2:12" ht="16" x14ac:dyDescent="0.2">
      <c r="B1" s="10" t="s">
        <v>238</v>
      </c>
    </row>
    <row r="2" spans="2:12" x14ac:dyDescent="0.15">
      <c r="B2" s="11" t="s">
        <v>88</v>
      </c>
    </row>
    <row r="3" spans="2:12" ht="26" x14ac:dyDescent="0.15">
      <c r="B3" s="59" t="s">
        <v>87</v>
      </c>
      <c r="C3" s="59"/>
      <c r="D3" s="60" t="s">
        <v>80</v>
      </c>
      <c r="E3" s="60" t="s">
        <v>81</v>
      </c>
      <c r="F3" s="60" t="s">
        <v>82</v>
      </c>
      <c r="H3" s="68"/>
      <c r="I3" s="68"/>
      <c r="J3" s="103"/>
      <c r="K3" s="103"/>
      <c r="L3" s="103"/>
    </row>
    <row r="4" spans="2:12" x14ac:dyDescent="0.15">
      <c r="B4" s="68" t="s">
        <v>199</v>
      </c>
      <c r="D4" s="68">
        <v>1152962</v>
      </c>
      <c r="E4" s="68">
        <v>888067</v>
      </c>
      <c r="F4" s="68">
        <v>782010</v>
      </c>
      <c r="G4" s="16"/>
      <c r="J4" s="16"/>
      <c r="K4" s="16"/>
      <c r="L4" s="16"/>
    </row>
    <row r="5" spans="2:12" ht="26" x14ac:dyDescent="0.15">
      <c r="B5" s="105" t="s">
        <v>200</v>
      </c>
      <c r="D5" s="16"/>
      <c r="E5" s="16"/>
      <c r="F5" s="16"/>
      <c r="G5" s="16"/>
      <c r="H5" s="68"/>
      <c r="I5" s="68"/>
      <c r="J5" s="69"/>
      <c r="K5" s="69"/>
      <c r="L5" s="69"/>
    </row>
    <row r="6" spans="2:12" x14ac:dyDescent="0.15">
      <c r="B6" s="106" t="s">
        <v>23</v>
      </c>
      <c r="D6" s="11">
        <v>91618</v>
      </c>
      <c r="E6" s="11">
        <v>97040</v>
      </c>
      <c r="F6" s="11">
        <v>103209</v>
      </c>
      <c r="G6" s="16"/>
      <c r="J6" s="16"/>
      <c r="K6" s="16"/>
      <c r="L6" s="16"/>
    </row>
    <row r="7" spans="2:12" x14ac:dyDescent="0.15">
      <c r="B7" s="106" t="s">
        <v>201</v>
      </c>
      <c r="D7" s="11">
        <v>2916</v>
      </c>
      <c r="E7" s="11">
        <v>3018</v>
      </c>
      <c r="F7" s="11">
        <v>2325</v>
      </c>
      <c r="G7" s="16"/>
      <c r="J7" s="16"/>
      <c r="K7" s="16"/>
      <c r="L7" s="16"/>
    </row>
    <row r="8" spans="2:12" x14ac:dyDescent="0.15">
      <c r="B8" s="106" t="s">
        <v>202</v>
      </c>
      <c r="D8" s="11">
        <v>3861</v>
      </c>
      <c r="E8" s="11">
        <v>1805</v>
      </c>
      <c r="F8" s="11">
        <v>1983</v>
      </c>
      <c r="G8" s="16"/>
      <c r="J8" s="16"/>
      <c r="K8" s="16"/>
      <c r="L8" s="16"/>
    </row>
    <row r="9" spans="2:12" x14ac:dyDescent="0.15">
      <c r="B9" s="106" t="s">
        <v>203</v>
      </c>
      <c r="D9" s="11">
        <v>0</v>
      </c>
      <c r="E9" s="11">
        <v>3219</v>
      </c>
      <c r="F9" s="11">
        <v>304</v>
      </c>
      <c r="G9" s="16"/>
      <c r="J9" s="16"/>
      <c r="K9" s="16"/>
      <c r="L9" s="16"/>
    </row>
    <row r="10" spans="2:12" x14ac:dyDescent="0.15">
      <c r="B10" s="106" t="s">
        <v>204</v>
      </c>
      <c r="D10" s="11">
        <v>1525</v>
      </c>
      <c r="E10" s="11">
        <v>832</v>
      </c>
      <c r="F10" s="11">
        <v>742</v>
      </c>
      <c r="G10" s="16"/>
      <c r="J10" s="16"/>
      <c r="K10" s="16"/>
      <c r="L10" s="16"/>
    </row>
    <row r="11" spans="2:12" x14ac:dyDescent="0.15">
      <c r="B11" s="106" t="s">
        <v>205</v>
      </c>
      <c r="D11" s="11">
        <v>-2873</v>
      </c>
      <c r="E11" s="11">
        <v>4001</v>
      </c>
      <c r="F11" s="11">
        <v>4966</v>
      </c>
      <c r="G11" s="16"/>
      <c r="J11" s="16"/>
      <c r="K11" s="16"/>
      <c r="L11" s="16"/>
    </row>
    <row r="12" spans="2:12" x14ac:dyDescent="0.15">
      <c r="B12" s="106" t="s">
        <v>100</v>
      </c>
      <c r="D12" s="11">
        <v>-14894</v>
      </c>
      <c r="E12" s="11">
        <v>-31967</v>
      </c>
      <c r="F12" s="11">
        <v>-22891</v>
      </c>
      <c r="G12" s="16"/>
      <c r="J12" s="16"/>
      <c r="K12" s="16"/>
      <c r="L12" s="16"/>
    </row>
    <row r="13" spans="2:12" x14ac:dyDescent="0.15">
      <c r="B13" s="106" t="s">
        <v>101</v>
      </c>
      <c r="D13" s="11">
        <v>8882</v>
      </c>
      <c r="E13" s="11">
        <v>8186</v>
      </c>
      <c r="F13" s="11">
        <v>10540</v>
      </c>
      <c r="G13" s="16"/>
      <c r="J13" s="16"/>
      <c r="K13" s="16"/>
      <c r="L13" s="16"/>
    </row>
    <row r="14" spans="2:12" x14ac:dyDescent="0.15">
      <c r="B14" s="106" t="s">
        <v>206</v>
      </c>
      <c r="D14" s="11">
        <v>237</v>
      </c>
      <c r="E14" s="11">
        <v>-347</v>
      </c>
      <c r="F14" s="11">
        <v>-39</v>
      </c>
      <c r="G14" s="16"/>
      <c r="H14" s="68"/>
      <c r="I14" s="68"/>
      <c r="J14" s="69"/>
      <c r="K14" s="69"/>
      <c r="L14" s="69"/>
    </row>
    <row r="15" spans="2:12" x14ac:dyDescent="0.15">
      <c r="B15" s="106" t="s">
        <v>207</v>
      </c>
      <c r="D15" s="11">
        <v>-373</v>
      </c>
      <c r="E15" s="11">
        <v>-389</v>
      </c>
      <c r="F15" s="11">
        <v>208</v>
      </c>
      <c r="G15" s="16"/>
      <c r="H15" s="68"/>
      <c r="I15" s="68"/>
      <c r="J15" s="69"/>
      <c r="K15" s="69"/>
      <c r="L15" s="69"/>
    </row>
    <row r="16" spans="2:12" x14ac:dyDescent="0.15">
      <c r="B16" s="106" t="s">
        <v>208</v>
      </c>
      <c r="D16" s="11">
        <v>1205</v>
      </c>
      <c r="E16" s="11">
        <v>406</v>
      </c>
      <c r="F16" s="11">
        <v>-802</v>
      </c>
      <c r="G16" s="16"/>
      <c r="H16" s="68"/>
      <c r="I16" s="68"/>
      <c r="J16" s="69"/>
      <c r="K16" s="69"/>
      <c r="L16" s="69"/>
    </row>
    <row r="17" spans="2:12" x14ac:dyDescent="0.15">
      <c r="B17" s="68" t="s">
        <v>209</v>
      </c>
      <c r="G17" s="16"/>
      <c r="J17" s="16"/>
      <c r="K17" s="16"/>
      <c r="L17" s="16"/>
    </row>
    <row r="18" spans="2:12" x14ac:dyDescent="0.15">
      <c r="B18" s="106" t="s">
        <v>112</v>
      </c>
      <c r="D18" s="11">
        <v>-26555</v>
      </c>
      <c r="E18" s="11">
        <v>11285</v>
      </c>
      <c r="F18" s="11">
        <v>1506</v>
      </c>
      <c r="G18" s="16"/>
      <c r="J18" s="16"/>
      <c r="K18" s="16"/>
      <c r="L18" s="16"/>
    </row>
    <row r="19" spans="2:12" x14ac:dyDescent="0.15">
      <c r="B19" s="106" t="s">
        <v>142</v>
      </c>
      <c r="D19" s="11">
        <v>-22906</v>
      </c>
      <c r="E19" s="11">
        <v>47</v>
      </c>
      <c r="F19" s="11">
        <v>541</v>
      </c>
      <c r="G19" s="16"/>
      <c r="J19" s="16"/>
      <c r="K19" s="16"/>
      <c r="L19" s="16"/>
    </row>
    <row r="20" spans="2:12" x14ac:dyDescent="0.15">
      <c r="B20" s="106" t="s">
        <v>113</v>
      </c>
      <c r="D20" s="11">
        <v>-13228</v>
      </c>
      <c r="E20" s="11">
        <v>5167</v>
      </c>
      <c r="F20" s="11">
        <v>11104</v>
      </c>
      <c r="G20" s="16"/>
      <c r="H20" s="68"/>
      <c r="I20" s="68"/>
      <c r="J20" s="69"/>
      <c r="K20" s="69"/>
      <c r="L20" s="69"/>
    </row>
    <row r="21" spans="2:12" x14ac:dyDescent="0.15">
      <c r="B21" s="106" t="s">
        <v>110</v>
      </c>
      <c r="D21" s="11">
        <v>-462</v>
      </c>
      <c r="E21" s="11">
        <v>-3005</v>
      </c>
      <c r="F21" s="11">
        <v>-6613</v>
      </c>
      <c r="G21" s="16"/>
      <c r="H21" s="68"/>
      <c r="J21" s="16"/>
      <c r="K21" s="16"/>
      <c r="L21" s="16"/>
    </row>
    <row r="22" spans="2:12" x14ac:dyDescent="0.15">
      <c r="B22" s="106" t="s">
        <v>210</v>
      </c>
      <c r="D22" s="11">
        <v>13745</v>
      </c>
      <c r="E22" s="11">
        <v>9946</v>
      </c>
      <c r="F22" s="11">
        <v>9110</v>
      </c>
      <c r="G22" s="16"/>
      <c r="H22" s="68"/>
      <c r="I22" s="68"/>
      <c r="J22" s="69"/>
      <c r="K22" s="69"/>
      <c r="L22" s="69"/>
    </row>
    <row r="23" spans="2:12" x14ac:dyDescent="0.15">
      <c r="B23" s="106" t="s">
        <v>211</v>
      </c>
      <c r="D23" s="11">
        <v>2190</v>
      </c>
      <c r="E23" s="11">
        <v>-2147</v>
      </c>
      <c r="F23" s="11">
        <v>-1819</v>
      </c>
      <c r="G23" s="16"/>
      <c r="H23" s="104"/>
      <c r="I23" s="16"/>
      <c r="J23" s="16"/>
      <c r="K23" s="16"/>
      <c r="L23" s="16"/>
    </row>
    <row r="24" spans="2:12" x14ac:dyDescent="0.15">
      <c r="B24" s="68" t="s">
        <v>212</v>
      </c>
      <c r="D24" s="16"/>
      <c r="E24" s="16"/>
      <c r="F24" s="16"/>
      <c r="G24" s="16"/>
      <c r="H24" s="88"/>
      <c r="I24" s="16"/>
      <c r="J24" s="16"/>
      <c r="K24" s="16"/>
      <c r="L24" s="16"/>
    </row>
    <row r="25" spans="2:12" x14ac:dyDescent="0.15">
      <c r="B25" s="106" t="s">
        <v>110</v>
      </c>
      <c r="D25" s="16">
        <v>2973</v>
      </c>
      <c r="E25" s="16">
        <v>-17740</v>
      </c>
      <c r="F25" s="16">
        <v>-5604</v>
      </c>
      <c r="G25" s="16"/>
      <c r="H25" s="68"/>
      <c r="J25" s="69"/>
      <c r="K25" s="69"/>
      <c r="L25" s="69"/>
    </row>
    <row r="26" spans="2:12" x14ac:dyDescent="0.15">
      <c r="B26" s="106" t="s">
        <v>126</v>
      </c>
      <c r="C26" s="68"/>
      <c r="D26" s="16">
        <v>-411</v>
      </c>
      <c r="E26" s="16">
        <v>476</v>
      </c>
      <c r="F26" s="16">
        <v>189</v>
      </c>
      <c r="G26" s="16"/>
      <c r="H26" s="16"/>
      <c r="I26" s="16"/>
      <c r="J26" s="16"/>
      <c r="K26" s="16"/>
      <c r="L26" s="16"/>
    </row>
    <row r="27" spans="2:12" x14ac:dyDescent="0.15">
      <c r="B27" s="106" t="s">
        <v>109</v>
      </c>
      <c r="D27" s="11">
        <v>596</v>
      </c>
      <c r="E27" s="11">
        <v>1034</v>
      </c>
      <c r="F27" s="11">
        <v>3629</v>
      </c>
      <c r="G27" s="16"/>
    </row>
    <row r="28" spans="2:12" x14ac:dyDescent="0.15">
      <c r="B28" s="106" t="s">
        <v>213</v>
      </c>
      <c r="D28" s="11">
        <v>-502856</v>
      </c>
      <c r="E28" s="11">
        <v>-441120</v>
      </c>
      <c r="F28" s="11">
        <v>-385710</v>
      </c>
      <c r="G28" s="16"/>
      <c r="H28" s="68"/>
      <c r="J28" s="69"/>
      <c r="K28" s="69"/>
      <c r="L28" s="69"/>
    </row>
    <row r="29" spans="2:12" x14ac:dyDescent="0.15">
      <c r="B29" s="107" t="s">
        <v>239</v>
      </c>
      <c r="C29" s="108"/>
      <c r="D29" s="107">
        <v>698152</v>
      </c>
      <c r="E29" s="107">
        <v>537814</v>
      </c>
      <c r="F29" s="107">
        <v>508888</v>
      </c>
      <c r="G29" s="16"/>
      <c r="H29" s="69"/>
      <c r="I29" s="16"/>
      <c r="J29" s="69"/>
      <c r="K29" s="69"/>
      <c r="L29" s="69"/>
    </row>
    <row r="30" spans="2:12" x14ac:dyDescent="0.15">
      <c r="G30" s="16"/>
      <c r="H30" s="16"/>
      <c r="I30" s="16"/>
      <c r="J30" s="16"/>
      <c r="K30" s="16"/>
      <c r="L30" s="16"/>
    </row>
    <row r="31" spans="2:12" x14ac:dyDescent="0.15">
      <c r="B31" s="106" t="s">
        <v>214</v>
      </c>
      <c r="D31" s="11">
        <v>-141161</v>
      </c>
      <c r="E31" s="11">
        <v>-158308</v>
      </c>
      <c r="F31" s="11">
        <v>-188890</v>
      </c>
      <c r="G31" s="16"/>
      <c r="H31" s="69"/>
      <c r="I31" s="16"/>
      <c r="J31" s="69"/>
      <c r="K31" s="69"/>
      <c r="L31" s="69"/>
    </row>
    <row r="32" spans="2:12" x14ac:dyDescent="0.15">
      <c r="B32" s="106" t="s">
        <v>215</v>
      </c>
      <c r="D32" s="11">
        <v>-1708</v>
      </c>
      <c r="E32" s="11">
        <v>-9878</v>
      </c>
      <c r="F32" s="11">
        <v>-1533</v>
      </c>
    </row>
    <row r="33" spans="2:11" x14ac:dyDescent="0.15">
      <c r="B33" s="106" t="s">
        <v>216</v>
      </c>
      <c r="D33" s="11">
        <v>-1489</v>
      </c>
      <c r="E33" s="11">
        <v>-3607</v>
      </c>
      <c r="F33" s="11">
        <v>-4736</v>
      </c>
    </row>
    <row r="34" spans="2:11" x14ac:dyDescent="0.15">
      <c r="B34" s="106" t="s">
        <v>217</v>
      </c>
      <c r="D34" s="11">
        <v>1651</v>
      </c>
      <c r="E34" s="11">
        <v>0</v>
      </c>
      <c r="F34" s="11">
        <v>1583</v>
      </c>
    </row>
    <row r="35" spans="2:11" x14ac:dyDescent="0.15">
      <c r="B35" s="106" t="s">
        <v>218</v>
      </c>
      <c r="D35" s="11">
        <v>4535</v>
      </c>
      <c r="E35" s="11">
        <v>3545</v>
      </c>
      <c r="F35" s="11">
        <v>3165</v>
      </c>
    </row>
    <row r="36" spans="2:11" x14ac:dyDescent="0.15">
      <c r="B36" s="106" t="s">
        <v>219</v>
      </c>
      <c r="D36" s="11">
        <v>390</v>
      </c>
      <c r="E36" s="11">
        <v>411</v>
      </c>
      <c r="F36" s="11">
        <v>463</v>
      </c>
      <c r="H36" s="239"/>
      <c r="I36" s="239"/>
    </row>
    <row r="37" spans="2:11" x14ac:dyDescent="0.15">
      <c r="B37" s="106" t="s">
        <v>220</v>
      </c>
      <c r="D37" s="11">
        <v>5950</v>
      </c>
      <c r="E37" s="11">
        <v>25628</v>
      </c>
      <c r="F37" s="11">
        <v>22735</v>
      </c>
      <c r="H37" s="238"/>
      <c r="I37" s="238"/>
    </row>
    <row r="38" spans="2:11" x14ac:dyDescent="0.15">
      <c r="B38" s="106" t="s">
        <v>221</v>
      </c>
      <c r="D38" s="11">
        <v>-3035</v>
      </c>
      <c r="E38" s="11">
        <v>-8682</v>
      </c>
      <c r="F38" s="11">
        <v>-6805</v>
      </c>
      <c r="H38" s="238"/>
      <c r="I38" s="238"/>
    </row>
    <row r="39" spans="2:11" x14ac:dyDescent="0.15">
      <c r="B39" s="106" t="s">
        <v>222</v>
      </c>
      <c r="D39" s="11">
        <v>-254142</v>
      </c>
      <c r="E39" s="11">
        <v>96872</v>
      </c>
      <c r="F39" s="11">
        <v>171157</v>
      </c>
      <c r="I39" s="83"/>
      <c r="J39" s="83"/>
      <c r="K39" s="83"/>
    </row>
    <row r="40" spans="2:11" x14ac:dyDescent="0.15">
      <c r="B40" s="107" t="s">
        <v>240</v>
      </c>
      <c r="C40" s="108"/>
      <c r="D40" s="107">
        <v>-389009</v>
      </c>
      <c r="E40" s="107">
        <v>-54019</v>
      </c>
      <c r="F40" s="107">
        <v>-2861</v>
      </c>
    </row>
    <row r="42" spans="2:11" x14ac:dyDescent="0.15">
      <c r="B42" s="106" t="s">
        <v>223</v>
      </c>
      <c r="D42" s="11">
        <v>-281318</v>
      </c>
      <c r="E42" s="11">
        <v>-366674</v>
      </c>
      <c r="F42" s="11">
        <v>-465918</v>
      </c>
    </row>
    <row r="43" spans="2:11" x14ac:dyDescent="0.15">
      <c r="B43" s="106" t="s">
        <v>224</v>
      </c>
      <c r="D43" s="11">
        <v>-14417</v>
      </c>
      <c r="E43" s="11">
        <v>-14428</v>
      </c>
      <c r="F43" s="11">
        <v>-11935</v>
      </c>
    </row>
    <row r="44" spans="2:11" x14ac:dyDescent="0.15">
      <c r="B44" s="106" t="s">
        <v>225</v>
      </c>
      <c r="D44" s="11">
        <v>58125</v>
      </c>
      <c r="E44" s="11">
        <v>0</v>
      </c>
      <c r="F44" s="11">
        <v>0</v>
      </c>
    </row>
    <row r="45" spans="2:11" x14ac:dyDescent="0.15">
      <c r="B45" s="106" t="s">
        <v>226</v>
      </c>
      <c r="D45" s="11">
        <v>-230</v>
      </c>
      <c r="E45" s="11">
        <v>0</v>
      </c>
      <c r="F45" s="11">
        <v>-3750</v>
      </c>
    </row>
    <row r="46" spans="2:11" x14ac:dyDescent="0.15">
      <c r="B46" s="106" t="s">
        <v>227</v>
      </c>
      <c r="D46" s="11">
        <v>550</v>
      </c>
      <c r="E46" s="11">
        <v>662</v>
      </c>
      <c r="F46" s="11">
        <v>788</v>
      </c>
    </row>
    <row r="47" spans="2:11" x14ac:dyDescent="0.15">
      <c r="B47" s="106" t="s">
        <v>228</v>
      </c>
      <c r="D47" s="11">
        <v>9082</v>
      </c>
      <c r="E47" s="11">
        <v>32057</v>
      </c>
      <c r="F47" s="11">
        <v>54398</v>
      </c>
    </row>
    <row r="48" spans="2:11" x14ac:dyDescent="0.15">
      <c r="B48" s="106" t="s">
        <v>229</v>
      </c>
      <c r="D48" s="11">
        <v>-132514</v>
      </c>
      <c r="E48" s="11">
        <v>-134495</v>
      </c>
      <c r="F48" s="11">
        <v>-31482</v>
      </c>
    </row>
    <row r="49" spans="2:6" x14ac:dyDescent="0.15">
      <c r="B49" s="106" t="s">
        <v>230</v>
      </c>
      <c r="D49" s="11">
        <v>-12114</v>
      </c>
      <c r="E49" s="11">
        <v>-13639</v>
      </c>
      <c r="F49" s="11">
        <v>-15344</v>
      </c>
    </row>
    <row r="50" spans="2:6" x14ac:dyDescent="0.15">
      <c r="B50" s="106" t="s">
        <v>231</v>
      </c>
      <c r="D50" s="11">
        <v>-9839</v>
      </c>
      <c r="E50" s="11">
        <v>-14352</v>
      </c>
      <c r="F50" s="11">
        <v>-15115</v>
      </c>
    </row>
    <row r="51" spans="2:6" x14ac:dyDescent="0.15">
      <c r="B51" s="107" t="s">
        <v>241</v>
      </c>
      <c r="C51" s="108"/>
      <c r="D51" s="107">
        <v>-382675</v>
      </c>
      <c r="E51" s="107">
        <v>-510869</v>
      </c>
      <c r="F51" s="107">
        <v>-488358</v>
      </c>
    </row>
    <row r="53" spans="2:6" x14ac:dyDescent="0.15">
      <c r="B53" s="68" t="s">
        <v>232</v>
      </c>
      <c r="D53" s="11">
        <v>-73532</v>
      </c>
      <c r="E53" s="11">
        <v>-27074</v>
      </c>
      <c r="F53" s="11">
        <v>17669</v>
      </c>
    </row>
    <row r="54" spans="2:6" x14ac:dyDescent="0.15">
      <c r="B54" s="11" t="s">
        <v>233</v>
      </c>
      <c r="D54" s="11">
        <v>299579</v>
      </c>
      <c r="E54" s="11">
        <v>226047</v>
      </c>
      <c r="F54" s="11">
        <v>198973</v>
      </c>
    </row>
    <row r="55" spans="2:6" x14ac:dyDescent="0.15">
      <c r="B55" s="107" t="s">
        <v>234</v>
      </c>
      <c r="C55" s="108"/>
      <c r="D55" s="107">
        <v>226047</v>
      </c>
      <c r="E55" s="107">
        <v>198973</v>
      </c>
      <c r="F55" s="107">
        <v>216642</v>
      </c>
    </row>
  </sheetData>
  <mergeCells count="3">
    <mergeCell ref="H37:I37"/>
    <mergeCell ref="H38:I38"/>
    <mergeCell ref="H36:I3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4E03-112A-6B4E-A72E-E92163C1FFC3}">
  <sheetPr>
    <tabColor rgb="FF002060"/>
  </sheetPr>
  <dimension ref="B1:B11"/>
  <sheetViews>
    <sheetView zoomScale="130" zoomScaleNormal="130" workbookViewId="0">
      <selection activeCell="B12" sqref="B12"/>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9" t="s">
        <v>236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670E3-2E7C-AF49-809C-E22953FAA43F}">
  <dimension ref="A1:W150"/>
  <sheetViews>
    <sheetView zoomScale="142" zoomScaleNormal="108" workbookViewId="0">
      <pane ySplit="5" topLeftCell="A6" activePane="bottomLeft" state="frozen"/>
      <selection pane="bottomLeft" activeCell="C6" sqref="C6"/>
    </sheetView>
  </sheetViews>
  <sheetFormatPr baseColWidth="10" defaultColWidth="9.1640625" defaultRowHeight="12" x14ac:dyDescent="0.15"/>
  <cols>
    <col min="1" max="1" width="2" style="11" customWidth="1"/>
    <col min="2" max="2" width="33.33203125" style="11" bestFit="1" customWidth="1"/>
    <col min="3" max="3" width="10.5" style="11" bestFit="1" customWidth="1"/>
    <col min="4" max="5" width="9.1640625" style="11"/>
    <col min="6" max="6" width="2" style="11" customWidth="1"/>
    <col min="7" max="7" width="11" style="11" bestFit="1" customWidth="1"/>
    <col min="8" max="11" width="10.5" style="11" bestFit="1" customWidth="1"/>
    <col min="12" max="12" width="3.1640625" style="11" customWidth="1"/>
    <col min="13" max="13" width="41" style="11" bestFit="1" customWidth="1"/>
    <col min="14" max="16" width="9.1640625" style="11"/>
    <col min="17" max="17" width="7.6640625" style="11" customWidth="1"/>
    <col min="18" max="18" width="4.5" style="11" customWidth="1"/>
    <col min="19" max="19" width="6.1640625" style="11" customWidth="1"/>
    <col min="20" max="16384" width="9.1640625" style="11"/>
  </cols>
  <sheetData>
    <row r="1" spans="1:16" ht="16" x14ac:dyDescent="0.2">
      <c r="A1" s="2"/>
      <c r="B1" s="10" t="s">
        <v>294</v>
      </c>
    </row>
    <row r="2" spans="1:16" x14ac:dyDescent="0.15">
      <c r="B2" s="11" t="s">
        <v>88</v>
      </c>
      <c r="G2" s="11" t="s">
        <v>14</v>
      </c>
    </row>
    <row r="3" spans="1:16" x14ac:dyDescent="0.15">
      <c r="G3" s="11" t="s">
        <v>15</v>
      </c>
      <c r="H3" s="11" t="s">
        <v>286</v>
      </c>
    </row>
    <row r="4" spans="1:16" x14ac:dyDescent="0.15">
      <c r="G4" s="11" t="s">
        <v>16</v>
      </c>
      <c r="H4" s="11" t="s">
        <v>285</v>
      </c>
    </row>
    <row r="5" spans="1:16" x14ac:dyDescent="0.15">
      <c r="B5" s="11" t="s">
        <v>17</v>
      </c>
      <c r="C5" s="6">
        <v>1</v>
      </c>
      <c r="G5" s="11" t="s">
        <v>18</v>
      </c>
      <c r="H5" s="11" t="s">
        <v>287</v>
      </c>
    </row>
    <row r="7" spans="1:16" ht="16" customHeight="1" x14ac:dyDescent="0.2">
      <c r="B7" s="10" t="s">
        <v>170</v>
      </c>
    </row>
    <row r="8" spans="1:16" ht="27" thickBot="1" x14ac:dyDescent="0.2">
      <c r="B8" s="12" t="s">
        <v>87</v>
      </c>
      <c r="C8" s="13" t="s">
        <v>73</v>
      </c>
      <c r="D8" s="13" t="s">
        <v>74</v>
      </c>
      <c r="E8" s="13" t="s">
        <v>75</v>
      </c>
      <c r="F8" s="14"/>
      <c r="G8" s="15" t="s">
        <v>76</v>
      </c>
      <c r="H8" s="15" t="s">
        <v>77</v>
      </c>
      <c r="I8" s="15" t="s">
        <v>78</v>
      </c>
      <c r="J8" s="15" t="s">
        <v>79</v>
      </c>
      <c r="K8" s="15" t="s">
        <v>72</v>
      </c>
      <c r="M8" s="71"/>
    </row>
    <row r="9" spans="1:16" ht="17" customHeight="1" x14ac:dyDescent="0.15">
      <c r="B9" s="68" t="s">
        <v>89</v>
      </c>
      <c r="C9" s="69">
        <f>'P&amp;L source'!D6</f>
        <v>2266373</v>
      </c>
      <c r="D9" s="69">
        <f>'P&amp;L source'!E6</f>
        <v>1856373</v>
      </c>
      <c r="E9" s="69">
        <f>'P&amp;L source'!F6</f>
        <v>1801674</v>
      </c>
      <c r="F9" s="68"/>
      <c r="G9" s="76">
        <f>E9*(1+G10)</f>
        <v>1891757.7000000002</v>
      </c>
      <c r="H9" s="76">
        <f>G9*(1+H10)</f>
        <v>1986345.5850000002</v>
      </c>
      <c r="I9" s="76">
        <f>H9*(1+I10)</f>
        <v>2085662.8642500003</v>
      </c>
      <c r="J9" s="76">
        <f t="shared" ref="J9:K9" si="0">I9*(1+J10)</f>
        <v>2189946.0074625006</v>
      </c>
      <c r="K9" s="76">
        <f t="shared" si="0"/>
        <v>2299443.307835626</v>
      </c>
      <c r="M9" s="73" t="s">
        <v>136</v>
      </c>
      <c r="N9" s="74" t="s">
        <v>20</v>
      </c>
      <c r="O9" s="74" t="s">
        <v>21</v>
      </c>
      <c r="P9" s="74" t="s">
        <v>22</v>
      </c>
    </row>
    <row r="10" spans="1:16" x14ac:dyDescent="0.15">
      <c r="B10" s="92" t="s">
        <v>173</v>
      </c>
      <c r="C10" s="95">
        <v>0</v>
      </c>
      <c r="D10" s="98">
        <f>(D9/C9)-1</f>
        <v>-0.18090579088261283</v>
      </c>
      <c r="E10" s="98">
        <f>(E9/D9)-1</f>
        <v>-2.9465522284583989E-2</v>
      </c>
      <c r="F10" s="92"/>
      <c r="G10" s="99">
        <f>CHOOSE($C$5,G11,G12,G13)</f>
        <v>0.05</v>
      </c>
      <c r="H10" s="99">
        <f t="shared" ref="H10:K10" si="1">CHOOSE($C$5,H11,H12,H13)</f>
        <v>0.05</v>
      </c>
      <c r="I10" s="99">
        <f t="shared" si="1"/>
        <v>0.05</v>
      </c>
      <c r="J10" s="99">
        <f t="shared" si="1"/>
        <v>0.05</v>
      </c>
      <c r="K10" s="99">
        <f t="shared" si="1"/>
        <v>0.05</v>
      </c>
      <c r="M10" s="240" t="s">
        <v>170</v>
      </c>
      <c r="N10" s="253"/>
      <c r="O10" s="253"/>
      <c r="P10" s="253"/>
    </row>
    <row r="11" spans="1:16" x14ac:dyDescent="0.15">
      <c r="B11" s="11" t="s">
        <v>15</v>
      </c>
      <c r="C11" s="20"/>
      <c r="D11" s="20"/>
      <c r="E11" s="20"/>
      <c r="G11" s="47">
        <v>0.05</v>
      </c>
      <c r="H11" s="47">
        <v>0.05</v>
      </c>
      <c r="I11" s="47">
        <v>0.05</v>
      </c>
      <c r="J11" s="47">
        <v>0.05</v>
      </c>
      <c r="K11" s="47">
        <v>0.05</v>
      </c>
      <c r="M11" s="85" t="s">
        <v>152</v>
      </c>
      <c r="N11" s="118">
        <v>0.05</v>
      </c>
      <c r="O11" s="118">
        <v>0.02</v>
      </c>
      <c r="P11" s="118">
        <v>-0.02</v>
      </c>
    </row>
    <row r="12" spans="1:16" x14ac:dyDescent="0.15">
      <c r="B12" s="11" t="s">
        <v>16</v>
      </c>
      <c r="C12" s="20"/>
      <c r="D12" s="20"/>
      <c r="E12" s="20"/>
      <c r="G12" s="47">
        <v>0.02</v>
      </c>
      <c r="H12" s="47">
        <v>0.02</v>
      </c>
      <c r="I12" s="47">
        <v>0.02</v>
      </c>
      <c r="J12" s="47">
        <v>0.02</v>
      </c>
      <c r="K12" s="47">
        <v>0.02</v>
      </c>
      <c r="M12" s="85" t="s">
        <v>181</v>
      </c>
      <c r="N12" s="118">
        <v>0.34499999999999997</v>
      </c>
      <c r="O12" s="118">
        <v>0.36</v>
      </c>
      <c r="P12" s="118">
        <v>0.38</v>
      </c>
    </row>
    <row r="13" spans="1:16" x14ac:dyDescent="0.15">
      <c r="B13" s="11" t="s">
        <v>18</v>
      </c>
      <c r="C13" s="20"/>
      <c r="D13" s="20"/>
      <c r="E13" s="20"/>
      <c r="G13" s="47">
        <v>-0.02</v>
      </c>
      <c r="H13" s="47">
        <v>-0.02</v>
      </c>
      <c r="I13" s="47">
        <v>-0.02</v>
      </c>
      <c r="J13" s="47">
        <v>-0.02</v>
      </c>
      <c r="K13" s="47">
        <v>-0.02</v>
      </c>
      <c r="M13" s="86" t="s">
        <v>182</v>
      </c>
      <c r="N13" s="121">
        <v>5.5E-2</v>
      </c>
      <c r="O13" s="121">
        <v>0.06</v>
      </c>
      <c r="P13" s="121">
        <v>6.5000000000000002E-2</v>
      </c>
    </row>
    <row r="14" spans="1:16" ht="12" customHeight="1" x14ac:dyDescent="0.15">
      <c r="G14" s="17"/>
      <c r="H14" s="17"/>
      <c r="I14" s="17"/>
      <c r="J14" s="17"/>
      <c r="K14" s="17"/>
      <c r="M14" s="85" t="s">
        <v>183</v>
      </c>
      <c r="N14" s="118">
        <v>7.0000000000000007E-2</v>
      </c>
      <c r="O14" s="118">
        <v>7.4999999999999997E-2</v>
      </c>
      <c r="P14" s="118">
        <v>0.08</v>
      </c>
    </row>
    <row r="15" spans="1:16" x14ac:dyDescent="0.15">
      <c r="B15" s="68" t="s">
        <v>140</v>
      </c>
      <c r="C15" s="69">
        <f>'P&amp;L source'!D27</f>
        <v>-934112</v>
      </c>
      <c r="D15" s="69">
        <f>'P&amp;L source'!E27</f>
        <v>-799543</v>
      </c>
      <c r="E15" s="69">
        <f>'P&amp;L source'!F27</f>
        <v>-820237</v>
      </c>
      <c r="F15" s="68"/>
      <c r="G15" s="77">
        <f>-G9*G16</f>
        <v>-652656.40650000004</v>
      </c>
      <c r="H15" s="77">
        <f>-H9*H16</f>
        <v>-685289.22682500002</v>
      </c>
      <c r="I15" s="77">
        <f>-I9*I16</f>
        <v>-719553.68816625001</v>
      </c>
      <c r="J15" s="77">
        <f>-J9*J16</f>
        <v>-755531.37257456267</v>
      </c>
      <c r="K15" s="77">
        <f>-K9*K16</f>
        <v>-793307.94120329095</v>
      </c>
      <c r="M15" s="87" t="s">
        <v>184</v>
      </c>
      <c r="N15" s="121">
        <v>0.04</v>
      </c>
      <c r="O15" s="121">
        <v>3.5000000000000003E-2</v>
      </c>
      <c r="P15" s="121">
        <v>0.02</v>
      </c>
    </row>
    <row r="16" spans="1:16" x14ac:dyDescent="0.15">
      <c r="B16" s="92" t="s">
        <v>133</v>
      </c>
      <c r="C16" s="100">
        <f>ABS(C15/C$9)</f>
        <v>0.41216163447058363</v>
      </c>
      <c r="D16" s="100">
        <f>ABS(D15/D$9)</f>
        <v>0.43070169626470545</v>
      </c>
      <c r="E16" s="100">
        <f>ABS(E15/E$9)</f>
        <v>0.45526382686323941</v>
      </c>
      <c r="F16" s="92"/>
      <c r="G16" s="99">
        <f>CHOOSE($C$5,G17,G18,G19)</f>
        <v>0.34499999999999997</v>
      </c>
      <c r="H16" s="99">
        <f t="shared" ref="H16" si="2">CHOOSE($C$5,H17,H18,H19)</f>
        <v>0.34499999999999997</v>
      </c>
      <c r="I16" s="99">
        <f t="shared" ref="I16" si="3">CHOOSE($C$5,I17,I18,I19)</f>
        <v>0.34499999999999997</v>
      </c>
      <c r="J16" s="99">
        <f t="shared" ref="J16" si="4">CHOOSE($C$5,J17,J18,J19)</f>
        <v>0.34499999999999997</v>
      </c>
      <c r="K16" s="99">
        <f t="shared" ref="K16" si="5">CHOOSE($C$5,K17,K18,K19)</f>
        <v>0.34499999999999997</v>
      </c>
      <c r="M16" s="85" t="s">
        <v>185</v>
      </c>
      <c r="N16" s="118">
        <v>0.03</v>
      </c>
      <c r="O16" s="118">
        <v>3.5000000000000003E-2</v>
      </c>
      <c r="P16" s="118">
        <v>0.04</v>
      </c>
    </row>
    <row r="17" spans="2:16" x14ac:dyDescent="0.15">
      <c r="B17" s="11" t="s">
        <v>15</v>
      </c>
      <c r="C17" s="20"/>
      <c r="D17" s="20"/>
      <c r="E17" s="20"/>
      <c r="G17" s="47">
        <v>0.34499999999999997</v>
      </c>
      <c r="H17" s="47">
        <v>0.34499999999999997</v>
      </c>
      <c r="I17" s="47">
        <v>0.34499999999999997</v>
      </c>
      <c r="J17" s="47">
        <v>0.34499999999999997</v>
      </c>
      <c r="K17" s="47">
        <v>0.34499999999999997</v>
      </c>
      <c r="M17" s="85" t="s">
        <v>186</v>
      </c>
      <c r="N17" s="118">
        <v>0.48</v>
      </c>
      <c r="O17" s="118">
        <v>0.49</v>
      </c>
      <c r="P17" s="118">
        <v>0.51</v>
      </c>
    </row>
    <row r="18" spans="2:16" x14ac:dyDescent="0.15">
      <c r="B18" s="11" t="s">
        <v>16</v>
      </c>
      <c r="C18" s="20"/>
      <c r="D18" s="20"/>
      <c r="E18" s="20"/>
      <c r="G18" s="47">
        <v>0.36</v>
      </c>
      <c r="H18" s="47">
        <v>0.36</v>
      </c>
      <c r="I18" s="47">
        <v>0.36</v>
      </c>
      <c r="J18" s="47">
        <v>0.36</v>
      </c>
      <c r="K18" s="47">
        <v>0.36</v>
      </c>
      <c r="M18" s="240" t="s">
        <v>171</v>
      </c>
      <c r="N18" s="253"/>
      <c r="O18" s="253"/>
      <c r="P18" s="253"/>
    </row>
    <row r="19" spans="2:16" x14ac:dyDescent="0.15">
      <c r="B19" s="11" t="s">
        <v>18</v>
      </c>
      <c r="C19" s="20"/>
      <c r="D19" s="20"/>
      <c r="E19" s="20"/>
      <c r="G19" s="47">
        <v>0.38</v>
      </c>
      <c r="H19" s="47">
        <v>0.38</v>
      </c>
      <c r="I19" s="47">
        <v>0.38</v>
      </c>
      <c r="J19" s="47">
        <v>0.38</v>
      </c>
      <c r="K19" s="47">
        <v>0.38</v>
      </c>
      <c r="M19" s="85" t="s">
        <v>174</v>
      </c>
      <c r="N19" s="118">
        <v>0.08</v>
      </c>
      <c r="O19" s="118">
        <v>7.0000000000000007E-2</v>
      </c>
      <c r="P19" s="118">
        <v>0.06</v>
      </c>
    </row>
    <row r="20" spans="2:16" ht="14" customHeight="1" x14ac:dyDescent="0.15">
      <c r="C20" s="16"/>
      <c r="D20" s="16"/>
      <c r="E20" s="16"/>
      <c r="G20" s="17"/>
      <c r="H20" s="17"/>
      <c r="I20" s="17"/>
      <c r="J20" s="17"/>
      <c r="K20" s="17"/>
      <c r="M20" s="85" t="s">
        <v>175</v>
      </c>
      <c r="N20" s="118">
        <v>0.04</v>
      </c>
      <c r="O20" s="118">
        <v>0.03</v>
      </c>
      <c r="P20" s="118">
        <v>0.02</v>
      </c>
    </row>
    <row r="21" spans="2:16" ht="12" customHeight="1" x14ac:dyDescent="0.15">
      <c r="B21" s="68" t="s">
        <v>161</v>
      </c>
      <c r="C21" s="69">
        <f>'P&amp;L source'!D28</f>
        <v>-96566</v>
      </c>
      <c r="D21" s="69">
        <f>'P&amp;L source'!E28</f>
        <v>-91503</v>
      </c>
      <c r="E21" s="69">
        <f>'P&amp;L source'!F28</f>
        <v>-103603</v>
      </c>
      <c r="F21" s="68"/>
      <c r="G21" s="77">
        <f>-G9*G22</f>
        <v>-104046.6735</v>
      </c>
      <c r="H21" s="77">
        <f>-H9*H22</f>
        <v>-109249.00717500001</v>
      </c>
      <c r="I21" s="77">
        <f>-I9*I22</f>
        <v>-114711.45753375001</v>
      </c>
      <c r="J21" s="77">
        <f>-J9*J22</f>
        <v>-120447.03041043754</v>
      </c>
      <c r="K21" s="77">
        <f>-K9*K22</f>
        <v>-126469.38193095943</v>
      </c>
      <c r="M21" s="93" t="s">
        <v>176</v>
      </c>
      <c r="N21" s="120">
        <v>25</v>
      </c>
      <c r="O21" s="120">
        <v>30</v>
      </c>
      <c r="P21" s="120">
        <v>35</v>
      </c>
    </row>
    <row r="22" spans="2:16" ht="12" customHeight="1" x14ac:dyDescent="0.15">
      <c r="B22" s="92" t="s">
        <v>133</v>
      </c>
      <c r="C22" s="100">
        <f>ABS(C21/C$9)</f>
        <v>4.260816732285462E-2</v>
      </c>
      <c r="D22" s="100">
        <f>ABS(D21/D$9)</f>
        <v>4.9291279284928192E-2</v>
      </c>
      <c r="E22" s="100">
        <f>ABS(E21/E$9)</f>
        <v>5.7503743740543518E-2</v>
      </c>
      <c r="F22" s="92"/>
      <c r="G22" s="99">
        <f>CHOOSE($C$5,G23,G24,G25)</f>
        <v>5.5E-2</v>
      </c>
      <c r="H22" s="99">
        <f t="shared" ref="H22" si="6">CHOOSE($C$5,H23,H24,H25)</f>
        <v>5.5E-2</v>
      </c>
      <c r="I22" s="99">
        <f t="shared" ref="I22" si="7">CHOOSE($C$5,I23,I24,I25)</f>
        <v>5.5E-2</v>
      </c>
      <c r="J22" s="99">
        <f t="shared" ref="J22" si="8">CHOOSE($C$5,J23,J24,J25)</f>
        <v>5.5E-2</v>
      </c>
      <c r="K22" s="99">
        <f t="shared" ref="K22" si="9">CHOOSE($C$5,K23,K24,K25)</f>
        <v>5.5E-2</v>
      </c>
      <c r="M22" s="85" t="s">
        <v>177</v>
      </c>
      <c r="N22" s="120">
        <v>35</v>
      </c>
      <c r="O22" s="120">
        <v>40</v>
      </c>
      <c r="P22" s="120">
        <v>45</v>
      </c>
    </row>
    <row r="23" spans="2:16" ht="12" customHeight="1" x14ac:dyDescent="0.15">
      <c r="B23" s="11" t="s">
        <v>15</v>
      </c>
      <c r="C23" s="20"/>
      <c r="D23" s="20"/>
      <c r="E23" s="20"/>
      <c r="G23" s="47">
        <v>5.5E-2</v>
      </c>
      <c r="H23" s="47">
        <v>5.5E-2</v>
      </c>
      <c r="I23" s="47">
        <v>5.5E-2</v>
      </c>
      <c r="J23" s="47">
        <v>5.5E-2</v>
      </c>
      <c r="K23" s="47">
        <v>5.5E-2</v>
      </c>
      <c r="M23" s="85" t="s">
        <v>178</v>
      </c>
      <c r="N23" s="120">
        <v>70</v>
      </c>
      <c r="O23" s="120">
        <v>60</v>
      </c>
      <c r="P23" s="120">
        <v>50</v>
      </c>
    </row>
    <row r="24" spans="2:16" ht="12" customHeight="1" x14ac:dyDescent="0.15">
      <c r="B24" s="11" t="s">
        <v>16</v>
      </c>
      <c r="C24" s="20"/>
      <c r="D24" s="20"/>
      <c r="E24" s="20"/>
      <c r="G24" s="47">
        <v>0.06</v>
      </c>
      <c r="H24" s="47">
        <v>0.06</v>
      </c>
      <c r="I24" s="47">
        <v>0.06</v>
      </c>
      <c r="J24" s="47">
        <v>0.06</v>
      </c>
      <c r="K24" s="47">
        <v>0.06</v>
      </c>
      <c r="M24" s="85" t="s">
        <v>197</v>
      </c>
      <c r="N24" s="118">
        <v>-0.12</v>
      </c>
      <c r="O24" s="118">
        <v>-0.08</v>
      </c>
      <c r="P24" s="118">
        <v>-0.04</v>
      </c>
    </row>
    <row r="25" spans="2:16" ht="12" customHeight="1" x14ac:dyDescent="0.15">
      <c r="B25" s="11" t="s">
        <v>18</v>
      </c>
      <c r="C25" s="20"/>
      <c r="D25" s="20"/>
      <c r="E25" s="20"/>
      <c r="G25" s="47">
        <v>6.5000000000000002E-2</v>
      </c>
      <c r="H25" s="47">
        <v>6.5000000000000002E-2</v>
      </c>
      <c r="I25" s="47">
        <v>6.5000000000000002E-2</v>
      </c>
      <c r="J25" s="47">
        <v>6.5000000000000002E-2</v>
      </c>
      <c r="K25" s="47">
        <v>6.5000000000000002E-2</v>
      </c>
      <c r="M25" s="85" t="s">
        <v>179</v>
      </c>
      <c r="N25" s="118">
        <v>0.08</v>
      </c>
      <c r="O25" s="118">
        <v>0.05</v>
      </c>
      <c r="P25" s="118">
        <v>0.03</v>
      </c>
    </row>
    <row r="26" spans="2:16" ht="12" customHeight="1" x14ac:dyDescent="0.15">
      <c r="C26" s="16"/>
      <c r="D26" s="16"/>
      <c r="E26" s="16"/>
      <c r="G26" s="19"/>
      <c r="H26" s="19"/>
      <c r="I26" s="19"/>
      <c r="J26" s="19"/>
      <c r="K26" s="19"/>
      <c r="M26" s="85" t="s">
        <v>180</v>
      </c>
      <c r="N26" s="118">
        <v>6.5000000000000002E-2</v>
      </c>
      <c r="O26" s="118">
        <v>7.0000000000000007E-2</v>
      </c>
      <c r="P26" s="118">
        <v>7.4999999999999997E-2</v>
      </c>
    </row>
    <row r="27" spans="2:16" ht="12" customHeight="1" x14ac:dyDescent="0.15">
      <c r="B27" s="68" t="s">
        <v>23</v>
      </c>
      <c r="C27" s="69">
        <f>'P&amp;L source'!D14</f>
        <v>-91618</v>
      </c>
      <c r="D27" s="69">
        <f>'P&amp;L source'!E14</f>
        <v>-97040</v>
      </c>
      <c r="E27" s="69">
        <f>'P&amp;L source'!F14</f>
        <v>-103209</v>
      </c>
      <c r="F27" s="68"/>
      <c r="G27" s="77">
        <f>-G28*AVERAGE(G63,E63)</f>
        <v>-108786.35040000002</v>
      </c>
      <c r="H27" s="77">
        <f>-H28*AVERAGE(H63,G63)</f>
        <v>-117489.25843200003</v>
      </c>
      <c r="I27" s="77">
        <f>-I28*AVERAGE(I63,H63)</f>
        <v>-126888.39910656004</v>
      </c>
      <c r="J27" s="77">
        <f>-J28*AVERAGE(J63,I63)</f>
        <v>-137039.47103508486</v>
      </c>
      <c r="K27" s="77">
        <f>-K28*AVERAGE(K63,J63)</f>
        <v>-148002.62871789164</v>
      </c>
      <c r="M27" s="85" t="s">
        <v>187</v>
      </c>
      <c r="N27" s="118">
        <v>0.09</v>
      </c>
      <c r="O27" s="118">
        <v>7.0000000000000007E-2</v>
      </c>
      <c r="P27" s="118">
        <v>0.05</v>
      </c>
    </row>
    <row r="28" spans="2:16" ht="12" customHeight="1" x14ac:dyDescent="0.15">
      <c r="B28" s="92" t="s">
        <v>162</v>
      </c>
      <c r="C28" s="95">
        <v>0</v>
      </c>
      <c r="D28" s="100">
        <f>ABS(D27/AVERAGE('BS source'!E4,'BS source'!D4))</f>
        <v>7.2202837592350841E-2</v>
      </c>
      <c r="E28" s="100">
        <f>ABS(E27/AVERAGE('BS source'!F4,'BS source'!E4))</f>
        <v>7.1696940120561228E-2</v>
      </c>
      <c r="F28" s="92"/>
      <c r="G28" s="99">
        <f>CHOOSE($C$5,G29,G30,G31)</f>
        <v>7.0000000000000007E-2</v>
      </c>
      <c r="H28" s="99">
        <f t="shared" ref="H28" si="10">CHOOSE($C$5,H29,H30,H31)</f>
        <v>7.0000000000000007E-2</v>
      </c>
      <c r="I28" s="99">
        <f t="shared" ref="I28" si="11">CHOOSE($C$5,I29,I30,I31)</f>
        <v>7.0000000000000007E-2</v>
      </c>
      <c r="J28" s="99">
        <f t="shared" ref="J28" si="12">CHOOSE($C$5,J29,J30,J31)</f>
        <v>7.0000000000000007E-2</v>
      </c>
      <c r="K28" s="99">
        <f t="shared" ref="K28" si="13">CHOOSE($C$5,K29,K30,K31)</f>
        <v>7.0000000000000007E-2</v>
      </c>
      <c r="M28" s="240" t="s">
        <v>261</v>
      </c>
      <c r="N28" s="253"/>
      <c r="O28" s="253"/>
      <c r="P28" s="253"/>
    </row>
    <row r="29" spans="2:16" x14ac:dyDescent="0.15">
      <c r="B29" s="11" t="s">
        <v>15</v>
      </c>
      <c r="C29" s="20"/>
      <c r="D29" s="20"/>
      <c r="E29" s="20"/>
      <c r="G29" s="47">
        <v>7.0000000000000007E-2</v>
      </c>
      <c r="H29" s="47">
        <v>7.0000000000000007E-2</v>
      </c>
      <c r="I29" s="47">
        <v>7.0000000000000007E-2</v>
      </c>
      <c r="J29" s="47">
        <v>7.0000000000000007E-2</v>
      </c>
      <c r="K29" s="47">
        <v>7.0000000000000007E-2</v>
      </c>
      <c r="M29" s="85" t="s">
        <v>262</v>
      </c>
      <c r="N29" s="118">
        <v>0.11</v>
      </c>
      <c r="O29" s="118">
        <v>9.5000000000000001E-2</v>
      </c>
      <c r="P29" s="118">
        <v>7.4999999999999997E-2</v>
      </c>
    </row>
    <row r="30" spans="2:16" x14ac:dyDescent="0.15">
      <c r="B30" s="11" t="s">
        <v>16</v>
      </c>
      <c r="C30" s="20"/>
      <c r="D30" s="20"/>
      <c r="E30" s="20"/>
      <c r="G30" s="47">
        <v>7.4999999999999997E-2</v>
      </c>
      <c r="H30" s="47">
        <v>7.4999999999999997E-2</v>
      </c>
      <c r="I30" s="47">
        <v>7.4999999999999997E-2</v>
      </c>
      <c r="J30" s="47">
        <v>7.4999999999999997E-2</v>
      </c>
      <c r="K30" s="47">
        <v>7.4999999999999997E-2</v>
      </c>
      <c r="M30" s="117" t="s">
        <v>273</v>
      </c>
      <c r="N30" s="119">
        <v>-2000</v>
      </c>
      <c r="O30" s="119">
        <v>-5000</v>
      </c>
      <c r="P30" s="119">
        <v>-8000</v>
      </c>
    </row>
    <row r="31" spans="2:16" x14ac:dyDescent="0.15">
      <c r="B31" s="11" t="s">
        <v>18</v>
      </c>
      <c r="C31" s="20"/>
      <c r="D31" s="20"/>
      <c r="E31" s="20"/>
      <c r="G31" s="47">
        <v>0.08</v>
      </c>
      <c r="H31" s="47">
        <v>0.08</v>
      </c>
      <c r="I31" s="47">
        <v>0.08</v>
      </c>
      <c r="J31" s="47">
        <v>0.08</v>
      </c>
      <c r="K31" s="47">
        <v>0.08</v>
      </c>
      <c r="M31" s="117" t="s">
        <v>272</v>
      </c>
      <c r="N31" s="118">
        <v>0.95</v>
      </c>
      <c r="O31" s="118">
        <v>1</v>
      </c>
      <c r="P31" s="118">
        <v>1.1000000000000001</v>
      </c>
    </row>
    <row r="32" spans="2:16" ht="11" customHeight="1" x14ac:dyDescent="0.15">
      <c r="C32" s="16"/>
      <c r="D32" s="16"/>
      <c r="E32" s="16"/>
      <c r="G32" s="19"/>
      <c r="H32" s="19"/>
      <c r="I32" s="19"/>
      <c r="J32" s="19"/>
      <c r="K32" s="19"/>
      <c r="M32" s="116" t="s">
        <v>271</v>
      </c>
      <c r="N32" s="122">
        <v>-17000</v>
      </c>
      <c r="O32" s="122">
        <v>-16000</v>
      </c>
      <c r="P32" s="122">
        <v>-15000</v>
      </c>
    </row>
    <row r="33" spans="2:23" x14ac:dyDescent="0.15">
      <c r="B33" s="68" t="s">
        <v>134</v>
      </c>
      <c r="C33" s="69">
        <f>'P&amp;L source'!D29</f>
        <v>17767</v>
      </c>
      <c r="D33" s="69">
        <f>'P&amp;L source'!E29</f>
        <v>27966</v>
      </c>
      <c r="E33" s="69">
        <f>'P&amp;L source'!F29</f>
        <v>17925</v>
      </c>
      <c r="F33" s="68"/>
      <c r="G33" s="77">
        <f>G34*G53</f>
        <v>41050.730784000007</v>
      </c>
      <c r="H33" s="77">
        <f t="shared" ref="H33:K33" si="14">H34*H53</f>
        <v>42972.72370272001</v>
      </c>
      <c r="I33" s="77">
        <f t="shared" si="14"/>
        <v>44980.372777737612</v>
      </c>
      <c r="J33" s="77">
        <f t="shared" si="14"/>
        <v>47077.12533769662</v>
      </c>
      <c r="K33" s="77">
        <f t="shared" si="14"/>
        <v>49266.534239339351</v>
      </c>
      <c r="M33" s="240" t="s">
        <v>397</v>
      </c>
      <c r="N33" s="253"/>
      <c r="O33" s="253"/>
      <c r="P33" s="253"/>
    </row>
    <row r="34" spans="2:23" x14ac:dyDescent="0.15">
      <c r="B34" s="92" t="s">
        <v>163</v>
      </c>
      <c r="C34" s="100">
        <f>ABS(C33/C$53)</f>
        <v>1.552954914747871E-2</v>
      </c>
      <c r="D34" s="100">
        <f>ABS(D33/D$53)</f>
        <v>3.2208244509016028E-2</v>
      </c>
      <c r="E34" s="100">
        <f t="shared" ref="E34" si="15">ABS(E33/E$53)</f>
        <v>2.3140229143133774E-2</v>
      </c>
      <c r="F34" s="92"/>
      <c r="G34" s="99">
        <f>CHOOSE($C$5,G35,G36,G37)</f>
        <v>0.04</v>
      </c>
      <c r="H34" s="99">
        <f t="shared" ref="H34" si="16">CHOOSE($C$5,H35,H36,H37)</f>
        <v>0.04</v>
      </c>
      <c r="I34" s="99">
        <f t="shared" ref="I34" si="17">CHOOSE($C$5,I35,I36,I37)</f>
        <v>0.04</v>
      </c>
      <c r="J34" s="99">
        <f t="shared" ref="J34" si="18">CHOOSE($C$5,J35,J36,J37)</f>
        <v>0.04</v>
      </c>
      <c r="K34" s="99">
        <f t="shared" ref="K34" si="19">CHOOSE($C$5,K35,K36,K37)</f>
        <v>0.04</v>
      </c>
      <c r="M34" s="117" t="s">
        <v>396</v>
      </c>
      <c r="N34" s="118">
        <v>1.4999999999999999E-2</v>
      </c>
      <c r="O34" s="118">
        <v>0.01</v>
      </c>
      <c r="P34" s="118">
        <v>5.0000000000000001E-3</v>
      </c>
    </row>
    <row r="35" spans="2:23" x14ac:dyDescent="0.15">
      <c r="B35" s="11" t="s">
        <v>15</v>
      </c>
      <c r="C35" s="20"/>
      <c r="D35" s="20"/>
      <c r="E35" s="20"/>
      <c r="G35" s="47">
        <v>0.04</v>
      </c>
      <c r="H35" s="47">
        <v>0.04</v>
      </c>
      <c r="I35" s="47">
        <v>0.04</v>
      </c>
      <c r="J35" s="47">
        <v>0.04</v>
      </c>
      <c r="K35" s="47">
        <v>0.04</v>
      </c>
    </row>
    <row r="36" spans="2:23" x14ac:dyDescent="0.15">
      <c r="B36" s="11" t="s">
        <v>16</v>
      </c>
      <c r="C36" s="20"/>
      <c r="D36" s="20"/>
      <c r="E36" s="20"/>
      <c r="G36" s="47">
        <v>3.5000000000000003E-2</v>
      </c>
      <c r="H36" s="47">
        <v>3.5000000000000003E-2</v>
      </c>
      <c r="I36" s="47">
        <v>3.5000000000000003E-2</v>
      </c>
      <c r="J36" s="47">
        <v>3.5000000000000003E-2</v>
      </c>
      <c r="K36" s="47">
        <v>3.5000000000000003E-2</v>
      </c>
    </row>
    <row r="37" spans="2:23" x14ac:dyDescent="0.15">
      <c r="B37" s="11" t="s">
        <v>18</v>
      </c>
      <c r="C37" s="20"/>
      <c r="D37" s="20"/>
      <c r="E37" s="20"/>
      <c r="G37" s="47">
        <v>0.02</v>
      </c>
      <c r="H37" s="47">
        <v>0.02</v>
      </c>
      <c r="I37" s="47">
        <v>0.02</v>
      </c>
      <c r="J37" s="47">
        <v>0.02</v>
      </c>
      <c r="K37" s="47">
        <v>0.02</v>
      </c>
    </row>
    <row r="38" spans="2:23" ht="12" customHeight="1" x14ac:dyDescent="0.15">
      <c r="C38" s="16"/>
      <c r="D38" s="16"/>
      <c r="E38" s="16"/>
      <c r="G38" s="19"/>
      <c r="H38" s="19"/>
      <c r="I38" s="19"/>
      <c r="J38" s="19"/>
      <c r="K38" s="19"/>
    </row>
    <row r="39" spans="2:23" ht="12" customHeight="1" x14ac:dyDescent="0.15">
      <c r="B39" s="68" t="s">
        <v>135</v>
      </c>
      <c r="C39" s="69">
        <f>'P&amp;L source'!D20</f>
        <v>-8882</v>
      </c>
      <c r="D39" s="69">
        <f>'P&amp;L source'!E20</f>
        <v>-8186</v>
      </c>
      <c r="E39" s="69">
        <f>'P&amp;L source'!F20</f>
        <v>-10540</v>
      </c>
      <c r="F39" s="68"/>
      <c r="G39" s="77">
        <f>-G40*AVERAGE(G99,E99)</f>
        <v>-9961.8479999999981</v>
      </c>
      <c r="H39" s="77">
        <f>-H40*AVERAGE(H99,G99)</f>
        <v>-10758.795840000001</v>
      </c>
      <c r="I39" s="77">
        <f>-I40*AVERAGE(I99,H99)</f>
        <v>-11619.4995072</v>
      </c>
      <c r="J39" s="77">
        <f>-J40*AVERAGE(J99,I99)</f>
        <v>-12549.059467776002</v>
      </c>
      <c r="K39" s="77">
        <f>-K40*AVERAGE(K99,J99)</f>
        <v>-13552.984225198083</v>
      </c>
      <c r="M39" s="72" t="s">
        <v>137</v>
      </c>
      <c r="N39" s="250" t="s">
        <v>138</v>
      </c>
      <c r="O39" s="250"/>
      <c r="P39" s="250"/>
      <c r="Q39" s="250"/>
      <c r="R39" s="250"/>
      <c r="S39" s="250"/>
      <c r="T39" s="250"/>
      <c r="U39" s="250"/>
      <c r="V39" s="250"/>
      <c r="W39" s="250"/>
    </row>
    <row r="40" spans="2:23" ht="12" customHeight="1" x14ac:dyDescent="0.15">
      <c r="B40" s="92" t="s">
        <v>172</v>
      </c>
      <c r="C40" s="95">
        <v>0</v>
      </c>
      <c r="D40" s="100">
        <f>ABS(D39/AVERAGE('BS source'!K36,'BS source'!J36))</f>
        <v>2.396050877298252E-2</v>
      </c>
      <c r="E40" s="100">
        <f>ABS(E39/AVERAGE('BS source'!L36,'BS source'!K36))</f>
        <v>3.4589301273142262E-2</v>
      </c>
      <c r="F40" s="92"/>
      <c r="G40" s="99">
        <f>CHOOSE($C$5,G41,G42,G43)</f>
        <v>0.03</v>
      </c>
      <c r="H40" s="99">
        <f t="shared" ref="H40" si="20">CHOOSE($C$5,H41,H42,H43)</f>
        <v>0.03</v>
      </c>
      <c r="I40" s="99">
        <f t="shared" ref="I40" si="21">CHOOSE($C$5,I41,I42,I43)</f>
        <v>0.03</v>
      </c>
      <c r="J40" s="99">
        <f t="shared" ref="J40" si="22">CHOOSE($C$5,J41,J42,J43)</f>
        <v>0.03</v>
      </c>
      <c r="K40" s="99">
        <f t="shared" ref="K40" si="23">CHOOSE($C$5,K41,K42,K43)</f>
        <v>0.03</v>
      </c>
      <c r="M40" s="240" t="s">
        <v>170</v>
      </c>
      <c r="N40" s="240"/>
      <c r="O40" s="240"/>
      <c r="P40" s="240"/>
      <c r="Q40" s="240"/>
      <c r="R40" s="240"/>
      <c r="S40" s="240"/>
      <c r="T40" s="240"/>
      <c r="U40" s="240"/>
      <c r="V40" s="240"/>
      <c r="W40" s="240"/>
    </row>
    <row r="41" spans="2:23" ht="12" customHeight="1" x14ac:dyDescent="0.15">
      <c r="B41" s="11" t="s">
        <v>15</v>
      </c>
      <c r="C41" s="20"/>
      <c r="D41" s="20"/>
      <c r="E41" s="20"/>
      <c r="G41" s="47">
        <v>0.03</v>
      </c>
      <c r="H41" s="47">
        <v>0.03</v>
      </c>
      <c r="I41" s="47">
        <v>0.03</v>
      </c>
      <c r="J41" s="47">
        <v>0.03</v>
      </c>
      <c r="K41" s="47">
        <v>0.03</v>
      </c>
      <c r="M41" s="85" t="s">
        <v>152</v>
      </c>
      <c r="N41" s="251" t="s">
        <v>288</v>
      </c>
      <c r="O41" s="251"/>
      <c r="P41" s="251"/>
      <c r="Q41" s="251"/>
      <c r="R41" s="251"/>
      <c r="S41" s="251"/>
      <c r="T41" s="251"/>
      <c r="U41" s="251"/>
      <c r="V41" s="251"/>
      <c r="W41" s="251"/>
    </row>
    <row r="42" spans="2:23" ht="12" customHeight="1" x14ac:dyDescent="0.15">
      <c r="B42" s="11" t="s">
        <v>16</v>
      </c>
      <c r="C42" s="20"/>
      <c r="D42" s="20"/>
      <c r="E42" s="20"/>
      <c r="G42" s="47">
        <v>3.5000000000000003E-2</v>
      </c>
      <c r="H42" s="47">
        <v>3.5000000000000003E-2</v>
      </c>
      <c r="I42" s="47">
        <v>3.5000000000000003E-2</v>
      </c>
      <c r="J42" s="47">
        <v>3.5000000000000003E-2</v>
      </c>
      <c r="K42" s="47">
        <v>3.5000000000000003E-2</v>
      </c>
      <c r="M42" s="85" t="s">
        <v>153</v>
      </c>
      <c r="N42" s="251" t="s">
        <v>291</v>
      </c>
      <c r="O42" s="251"/>
      <c r="P42" s="251"/>
      <c r="Q42" s="251"/>
      <c r="R42" s="251"/>
      <c r="S42" s="251"/>
      <c r="T42" s="251"/>
      <c r="U42" s="251"/>
      <c r="V42" s="251"/>
      <c r="W42" s="251"/>
    </row>
    <row r="43" spans="2:23" ht="12" customHeight="1" x14ac:dyDescent="0.15">
      <c r="B43" s="11" t="s">
        <v>18</v>
      </c>
      <c r="C43" s="20"/>
      <c r="D43" s="20"/>
      <c r="E43" s="20"/>
      <c r="G43" s="47">
        <v>0.04</v>
      </c>
      <c r="H43" s="47">
        <v>0.04</v>
      </c>
      <c r="I43" s="47">
        <v>0.04</v>
      </c>
      <c r="J43" s="47">
        <v>0.04</v>
      </c>
      <c r="K43" s="47">
        <v>0.04</v>
      </c>
      <c r="M43" s="93" t="s">
        <v>154</v>
      </c>
      <c r="N43" s="251" t="s">
        <v>158</v>
      </c>
      <c r="O43" s="251"/>
      <c r="P43" s="251"/>
      <c r="Q43" s="251"/>
      <c r="R43" s="251"/>
      <c r="S43" s="251"/>
      <c r="T43" s="251"/>
      <c r="U43" s="251"/>
      <c r="V43" s="251"/>
      <c r="W43" s="251"/>
    </row>
    <row r="44" spans="2:23" ht="14" customHeight="1" x14ac:dyDescent="0.15">
      <c r="G44" s="75"/>
      <c r="H44" s="75"/>
      <c r="I44" s="75"/>
      <c r="J44" s="75"/>
      <c r="K44" s="75"/>
      <c r="M44" s="85" t="s">
        <v>155</v>
      </c>
      <c r="N44" s="251" t="s">
        <v>159</v>
      </c>
      <c r="O44" s="251"/>
      <c r="P44" s="251"/>
      <c r="Q44" s="251"/>
      <c r="R44" s="251"/>
      <c r="S44" s="251"/>
      <c r="T44" s="251"/>
      <c r="U44" s="251"/>
      <c r="V44" s="251"/>
      <c r="W44" s="251"/>
    </row>
    <row r="45" spans="2:23" ht="12" customHeight="1" x14ac:dyDescent="0.15">
      <c r="B45" s="68" t="s">
        <v>103</v>
      </c>
      <c r="C45" s="69">
        <f>'P&amp;L source'!D22</f>
        <v>-548957</v>
      </c>
      <c r="D45" s="69">
        <f>'P&amp;L source'!E22</f>
        <v>-433303</v>
      </c>
      <c r="E45" s="69">
        <f>'P&amp;L source'!F22</f>
        <v>-383588</v>
      </c>
      <c r="F45" s="68"/>
      <c r="G45" s="77">
        <f>-G46*G54</f>
        <v>-507531.43314432004</v>
      </c>
      <c r="H45" s="77">
        <f t="shared" ref="H45:K45" si="24">-H46*H54</f>
        <v>-531135.36980674567</v>
      </c>
      <c r="I45" s="77">
        <f t="shared" si="24"/>
        <v>-555777.69250270945</v>
      </c>
      <c r="J45" s="77">
        <f t="shared" si="24"/>
        <v>-581498.97566992126</v>
      </c>
      <c r="K45" s="77">
        <f t="shared" si="24"/>
        <v>-608340.91487886</v>
      </c>
      <c r="M45" s="85" t="s">
        <v>156</v>
      </c>
      <c r="N45" s="251" t="s">
        <v>289</v>
      </c>
      <c r="O45" s="251"/>
      <c r="P45" s="251"/>
      <c r="Q45" s="251"/>
      <c r="R45" s="251"/>
      <c r="S45" s="251"/>
      <c r="T45" s="251"/>
      <c r="U45" s="251"/>
      <c r="V45" s="251"/>
      <c r="W45" s="251"/>
    </row>
    <row r="46" spans="2:23" ht="12" customHeight="1" x14ac:dyDescent="0.15">
      <c r="B46" s="92" t="s">
        <v>24</v>
      </c>
      <c r="C46" s="98">
        <f>ABS(C45/C54)</f>
        <v>0.47612757402238753</v>
      </c>
      <c r="D46" s="98">
        <f t="shared" ref="D46:E46" si="25">ABS(D45/D54)</f>
        <v>0.48791701527024423</v>
      </c>
      <c r="E46" s="98">
        <f t="shared" si="25"/>
        <v>0.49051546655413614</v>
      </c>
      <c r="F46" s="92"/>
      <c r="G46" s="99">
        <f>CHOOSE($C$5,G47,G48,G49)</f>
        <v>0.48</v>
      </c>
      <c r="H46" s="99">
        <f t="shared" ref="H46" si="26">CHOOSE($C$5,H47,H48,H49)</f>
        <v>0.48</v>
      </c>
      <c r="I46" s="99">
        <f t="shared" ref="I46" si="27">CHOOSE($C$5,I47,I48,I49)</f>
        <v>0.48</v>
      </c>
      <c r="J46" s="99">
        <f t="shared" ref="J46" si="28">CHOOSE($C$5,J47,J48,J49)</f>
        <v>0.48</v>
      </c>
      <c r="K46" s="99">
        <f t="shared" ref="K46" si="29">CHOOSE($C$5,K47,K48,K49)</f>
        <v>0.48</v>
      </c>
      <c r="M46" s="85" t="s">
        <v>157</v>
      </c>
      <c r="N46" s="251" t="s">
        <v>292</v>
      </c>
      <c r="O46" s="251"/>
      <c r="P46" s="251"/>
      <c r="Q46" s="251"/>
      <c r="R46" s="251"/>
      <c r="S46" s="251"/>
      <c r="T46" s="251"/>
      <c r="U46" s="251"/>
      <c r="V46" s="251"/>
      <c r="W46" s="251"/>
    </row>
    <row r="47" spans="2:23" ht="24" customHeight="1" x14ac:dyDescent="0.15">
      <c r="B47" s="11" t="s">
        <v>15</v>
      </c>
      <c r="C47" s="20"/>
      <c r="D47" s="20"/>
      <c r="E47" s="20"/>
      <c r="G47" s="101">
        <v>0.48</v>
      </c>
      <c r="H47" s="101">
        <v>0.48</v>
      </c>
      <c r="I47" s="101">
        <v>0.48</v>
      </c>
      <c r="J47" s="101">
        <v>0.48</v>
      </c>
      <c r="K47" s="101">
        <v>0.48</v>
      </c>
      <c r="M47" s="85" t="s">
        <v>139</v>
      </c>
      <c r="N47" s="251" t="s">
        <v>160</v>
      </c>
      <c r="O47" s="251"/>
      <c r="P47" s="251"/>
      <c r="Q47" s="251"/>
      <c r="R47" s="251"/>
      <c r="S47" s="251"/>
      <c r="T47" s="251"/>
      <c r="U47" s="251"/>
      <c r="V47" s="251"/>
      <c r="W47" s="251"/>
    </row>
    <row r="48" spans="2:23" ht="12" customHeight="1" x14ac:dyDescent="0.15">
      <c r="B48" s="11" t="s">
        <v>16</v>
      </c>
      <c r="C48" s="20"/>
      <c r="D48" s="20"/>
      <c r="E48" s="20"/>
      <c r="G48" s="47">
        <v>0.49</v>
      </c>
      <c r="H48" s="47">
        <v>0.49</v>
      </c>
      <c r="I48" s="47">
        <v>0.49</v>
      </c>
      <c r="J48" s="47">
        <v>0.49</v>
      </c>
      <c r="K48" s="47">
        <v>0.49</v>
      </c>
      <c r="M48" s="240" t="s">
        <v>171</v>
      </c>
      <c r="N48" s="240"/>
      <c r="O48" s="240"/>
      <c r="P48" s="240"/>
      <c r="Q48" s="240"/>
      <c r="R48" s="240"/>
      <c r="S48" s="240"/>
      <c r="T48" s="240"/>
      <c r="U48" s="240"/>
      <c r="V48" s="240"/>
      <c r="W48" s="240"/>
    </row>
    <row r="49" spans="2:23" x14ac:dyDescent="0.15">
      <c r="B49" s="11" t="s">
        <v>18</v>
      </c>
      <c r="C49" s="20"/>
      <c r="D49" s="20"/>
      <c r="E49" s="20"/>
      <c r="G49" s="96">
        <v>0.51</v>
      </c>
      <c r="H49" s="96">
        <v>0.51</v>
      </c>
      <c r="I49" s="96">
        <v>0.51</v>
      </c>
      <c r="J49" s="96">
        <v>0.51</v>
      </c>
      <c r="K49" s="96">
        <v>0.51</v>
      </c>
      <c r="M49" s="85" t="s">
        <v>174</v>
      </c>
      <c r="N49" s="248" t="s">
        <v>189</v>
      </c>
      <c r="O49" s="248"/>
      <c r="P49" s="248"/>
      <c r="Q49" s="248"/>
      <c r="R49" s="248"/>
      <c r="S49" s="248"/>
      <c r="T49" s="248"/>
      <c r="U49" s="248"/>
      <c r="V49" s="248"/>
      <c r="W49" s="248"/>
    </row>
    <row r="50" spans="2:23" x14ac:dyDescent="0.15">
      <c r="C50" s="16"/>
      <c r="D50" s="16"/>
      <c r="E50" s="16"/>
      <c r="G50" s="16"/>
      <c r="H50" s="16"/>
      <c r="I50" s="16"/>
      <c r="J50" s="16"/>
      <c r="K50" s="16"/>
      <c r="M50" s="85" t="s">
        <v>175</v>
      </c>
      <c r="N50" s="248" t="s">
        <v>190</v>
      </c>
      <c r="O50" s="248"/>
      <c r="P50" s="248"/>
      <c r="Q50" s="248"/>
      <c r="R50" s="248"/>
      <c r="S50" s="248"/>
      <c r="T50" s="248"/>
      <c r="U50" s="248"/>
      <c r="V50" s="248"/>
      <c r="W50" s="248"/>
    </row>
    <row r="51" spans="2:23" x14ac:dyDescent="0.15">
      <c r="M51" s="93" t="s">
        <v>176</v>
      </c>
      <c r="N51" s="248" t="s">
        <v>191</v>
      </c>
      <c r="O51" s="248"/>
      <c r="P51" s="248"/>
      <c r="Q51" s="248"/>
      <c r="R51" s="248"/>
      <c r="S51" s="248"/>
      <c r="T51" s="248"/>
      <c r="U51" s="248"/>
      <c r="V51" s="248"/>
      <c r="W51" s="248"/>
    </row>
    <row r="52" spans="2:23" x14ac:dyDescent="0.15">
      <c r="B52" s="79"/>
      <c r="C52" s="80"/>
      <c r="D52" s="80"/>
      <c r="E52" s="80"/>
      <c r="F52" s="80"/>
      <c r="M52" s="85" t="s">
        <v>177</v>
      </c>
      <c r="N52" s="248" t="s">
        <v>192</v>
      </c>
      <c r="O52" s="248"/>
      <c r="P52" s="248"/>
      <c r="Q52" s="248"/>
      <c r="R52" s="248"/>
      <c r="S52" s="248"/>
      <c r="T52" s="248"/>
      <c r="U52" s="248"/>
      <c r="V52" s="248"/>
      <c r="W52" s="248"/>
    </row>
    <row r="53" spans="2:23" x14ac:dyDescent="0.15">
      <c r="B53" s="136" t="s">
        <v>141</v>
      </c>
      <c r="C53" s="137">
        <f>C9+C15+C21+C27</f>
        <v>1144077</v>
      </c>
      <c r="D53" s="137">
        <f t="shared" ref="D53:K53" si="30">D9+D15+D21+D27</f>
        <v>868287</v>
      </c>
      <c r="E53" s="137">
        <f t="shared" si="30"/>
        <v>774625</v>
      </c>
      <c r="F53" s="137"/>
      <c r="G53" s="138">
        <f>G9+G15+G21+G27</f>
        <v>1026268.2696000001</v>
      </c>
      <c r="H53" s="138">
        <f t="shared" si="30"/>
        <v>1074318.0925680003</v>
      </c>
      <c r="I53" s="138">
        <f t="shared" si="30"/>
        <v>1124509.3194434403</v>
      </c>
      <c r="J53" s="138">
        <f t="shared" si="30"/>
        <v>1176928.1334424154</v>
      </c>
      <c r="K53" s="139">
        <f t="shared" si="30"/>
        <v>1231663.3559834838</v>
      </c>
      <c r="L53" s="80"/>
      <c r="M53" s="85" t="s">
        <v>178</v>
      </c>
      <c r="N53" s="248" t="s">
        <v>193</v>
      </c>
      <c r="O53" s="248"/>
      <c r="P53" s="248"/>
      <c r="Q53" s="248"/>
      <c r="R53" s="248"/>
      <c r="S53" s="248"/>
      <c r="T53" s="248"/>
      <c r="U53" s="248"/>
      <c r="V53" s="248"/>
      <c r="W53" s="248"/>
    </row>
    <row r="54" spans="2:23" ht="13" x14ac:dyDescent="0.15">
      <c r="B54" s="140" t="s">
        <v>102</v>
      </c>
      <c r="C54" s="80">
        <f>C53+C33+C39</f>
        <v>1152962</v>
      </c>
      <c r="D54" s="80">
        <f>D53+D33+D39</f>
        <v>888067</v>
      </c>
      <c r="E54" s="80">
        <f>E53+E33+E39</f>
        <v>782010</v>
      </c>
      <c r="F54" s="80"/>
      <c r="G54" s="141">
        <f>G53+G33+G39</f>
        <v>1057357.1523840001</v>
      </c>
      <c r="H54" s="141">
        <f>H53+H33+H39</f>
        <v>1106532.0204307202</v>
      </c>
      <c r="I54" s="141">
        <f>I53+I33+I39</f>
        <v>1157870.192713978</v>
      </c>
      <c r="J54" s="141">
        <f>J53+J33+J39</f>
        <v>1211456.199312336</v>
      </c>
      <c r="K54" s="142">
        <f>K53+K33+K39</f>
        <v>1267376.9059976251</v>
      </c>
      <c r="M54" s="85" t="s">
        <v>197</v>
      </c>
      <c r="N54" s="252" t="s">
        <v>290</v>
      </c>
      <c r="O54" s="252"/>
      <c r="P54" s="252"/>
      <c r="Q54" s="252"/>
      <c r="R54" s="252"/>
      <c r="S54" s="252"/>
      <c r="T54" s="252"/>
      <c r="U54" s="252"/>
      <c r="V54" s="252"/>
      <c r="W54" s="252"/>
    </row>
    <row r="55" spans="2:23" x14ac:dyDescent="0.15">
      <c r="B55" s="143" t="s">
        <v>35</v>
      </c>
      <c r="C55" s="144">
        <f>C54+C45</f>
        <v>604005</v>
      </c>
      <c r="D55" s="144">
        <f t="shared" ref="D55:K55" si="31">D54+D45</f>
        <v>454764</v>
      </c>
      <c r="E55" s="144">
        <f t="shared" si="31"/>
        <v>398422</v>
      </c>
      <c r="F55" s="144"/>
      <c r="G55" s="145">
        <f t="shared" si="31"/>
        <v>549825.7192396801</v>
      </c>
      <c r="H55" s="145">
        <f t="shared" si="31"/>
        <v>575396.65062397451</v>
      </c>
      <c r="I55" s="145">
        <f t="shared" si="31"/>
        <v>602092.50021126855</v>
      </c>
      <c r="J55" s="145">
        <f t="shared" si="31"/>
        <v>629957.22364241478</v>
      </c>
      <c r="K55" s="146">
        <f t="shared" si="31"/>
        <v>659035.99111876509</v>
      </c>
      <c r="M55" s="85" t="s">
        <v>179</v>
      </c>
      <c r="N55" s="248" t="s">
        <v>194</v>
      </c>
      <c r="O55" s="248"/>
      <c r="P55" s="248"/>
      <c r="Q55" s="248"/>
      <c r="R55" s="248"/>
      <c r="S55" s="248"/>
      <c r="T55" s="248"/>
      <c r="U55" s="248"/>
      <c r="V55" s="248"/>
      <c r="W55" s="248"/>
    </row>
    <row r="56" spans="2:23" ht="42" customHeight="1" x14ac:dyDescent="0.15">
      <c r="M56" s="85" t="s">
        <v>180</v>
      </c>
      <c r="N56" s="249" t="s">
        <v>293</v>
      </c>
      <c r="O56" s="249"/>
      <c r="P56" s="249"/>
      <c r="Q56" s="249"/>
      <c r="R56" s="249"/>
      <c r="S56" s="249"/>
      <c r="T56" s="249"/>
      <c r="U56" s="249"/>
      <c r="V56" s="249"/>
      <c r="W56" s="249"/>
    </row>
    <row r="57" spans="2:23" x14ac:dyDescent="0.15">
      <c r="M57" s="85" t="s">
        <v>187</v>
      </c>
      <c r="N57" s="249" t="s">
        <v>195</v>
      </c>
      <c r="O57" s="249"/>
      <c r="P57" s="249"/>
      <c r="Q57" s="249"/>
      <c r="R57" s="249"/>
      <c r="S57" s="249"/>
      <c r="T57" s="249"/>
      <c r="U57" s="249"/>
      <c r="V57" s="249"/>
      <c r="W57" s="249"/>
    </row>
    <row r="58" spans="2:23" x14ac:dyDescent="0.15">
      <c r="M58" s="240" t="s">
        <v>261</v>
      </c>
      <c r="N58" s="240"/>
      <c r="O58" s="240"/>
      <c r="P58" s="240"/>
      <c r="Q58" s="240"/>
      <c r="R58" s="240"/>
      <c r="S58" s="240"/>
      <c r="T58" s="240"/>
      <c r="U58" s="240"/>
      <c r="V58" s="240"/>
      <c r="W58" s="240"/>
    </row>
    <row r="59" spans="2:23" ht="16" x14ac:dyDescent="0.2">
      <c r="B59" s="97" t="s">
        <v>4</v>
      </c>
      <c r="C59" s="70"/>
      <c r="D59" s="70"/>
      <c r="E59" s="70"/>
      <c r="F59" s="70"/>
      <c r="G59" s="70"/>
      <c r="H59" s="70"/>
      <c r="I59" s="70"/>
      <c r="J59" s="70"/>
      <c r="K59" s="70"/>
      <c r="M59" s="85" t="s">
        <v>262</v>
      </c>
      <c r="N59" s="241" t="s">
        <v>260</v>
      </c>
      <c r="O59" s="242"/>
      <c r="P59" s="242"/>
      <c r="Q59" s="242"/>
      <c r="R59" s="242"/>
      <c r="S59" s="242"/>
      <c r="T59" s="242"/>
      <c r="U59" s="242"/>
      <c r="V59" s="242"/>
      <c r="W59" s="243"/>
    </row>
    <row r="60" spans="2:23" x14ac:dyDescent="0.15">
      <c r="B60" s="11" t="s">
        <v>88</v>
      </c>
      <c r="M60" s="117" t="s">
        <v>273</v>
      </c>
      <c r="N60" s="245" t="s">
        <v>267</v>
      </c>
      <c r="O60" s="246"/>
      <c r="P60" s="246"/>
      <c r="Q60" s="246"/>
      <c r="R60" s="246"/>
      <c r="S60" s="246"/>
      <c r="T60" s="246"/>
      <c r="U60" s="246"/>
      <c r="V60" s="246"/>
      <c r="W60" s="247"/>
    </row>
    <row r="61" spans="2:23" ht="27" thickBot="1" x14ac:dyDescent="0.2">
      <c r="B61" s="12" t="s">
        <v>87</v>
      </c>
      <c r="C61" s="13" t="s">
        <v>73</v>
      </c>
      <c r="D61" s="13" t="s">
        <v>74</v>
      </c>
      <c r="E61" s="13" t="s">
        <v>75</v>
      </c>
      <c r="F61" s="14"/>
      <c r="G61" s="15" t="s">
        <v>76</v>
      </c>
      <c r="H61" s="15" t="s">
        <v>77</v>
      </c>
      <c r="I61" s="15" t="s">
        <v>78</v>
      </c>
      <c r="J61" s="15" t="s">
        <v>79</v>
      </c>
      <c r="K61" s="15" t="s">
        <v>72</v>
      </c>
      <c r="M61" s="117" t="s">
        <v>272</v>
      </c>
      <c r="N61" s="244" t="s">
        <v>266</v>
      </c>
      <c r="O61" s="244"/>
      <c r="P61" s="244"/>
      <c r="Q61" s="244"/>
      <c r="R61" s="244"/>
      <c r="S61" s="244"/>
      <c r="T61" s="244"/>
      <c r="U61" s="244"/>
      <c r="V61" s="244"/>
      <c r="W61" s="244"/>
    </row>
    <row r="62" spans="2:23" ht="12" customHeight="1" x14ac:dyDescent="0.15">
      <c r="C62" s="16"/>
      <c r="D62" s="16"/>
      <c r="E62" s="16"/>
      <c r="G62" s="23"/>
      <c r="H62" s="23"/>
      <c r="I62" s="23"/>
      <c r="J62" s="23"/>
      <c r="K62" s="23"/>
      <c r="M62" s="116" t="s">
        <v>271</v>
      </c>
      <c r="N62" s="248" t="s">
        <v>274</v>
      </c>
      <c r="O62" s="248"/>
      <c r="P62" s="248"/>
      <c r="Q62" s="248"/>
      <c r="R62" s="248"/>
      <c r="S62" s="248"/>
      <c r="T62" s="248"/>
      <c r="U62" s="248"/>
      <c r="V62" s="248"/>
      <c r="W62" s="248"/>
    </row>
    <row r="63" spans="2:23" x14ac:dyDescent="0.15">
      <c r="B63" s="68" t="s">
        <v>25</v>
      </c>
      <c r="C63" s="69">
        <f>'BS source'!D4</f>
        <v>1303266</v>
      </c>
      <c r="D63" s="69">
        <f>'BS source'!E4</f>
        <v>1384717</v>
      </c>
      <c r="E63" s="69">
        <f>'BS source'!F4</f>
        <v>1494318</v>
      </c>
      <c r="F63" s="68"/>
      <c r="G63" s="76">
        <f>E63*(1+G64)</f>
        <v>1613863.4400000002</v>
      </c>
      <c r="H63" s="76">
        <f>G63*(1+H64)</f>
        <v>1742972.5152000003</v>
      </c>
      <c r="I63" s="76">
        <f>H63*(1+I64)</f>
        <v>1882410.3164160005</v>
      </c>
      <c r="J63" s="76">
        <f>I63*(1+J64)</f>
        <v>2033003.1417292806</v>
      </c>
      <c r="K63" s="76">
        <f>J63*(1+K64)</f>
        <v>2195643.393067623</v>
      </c>
    </row>
    <row r="64" spans="2:23" x14ac:dyDescent="0.15">
      <c r="B64" s="92" t="s">
        <v>173</v>
      </c>
      <c r="C64" s="95">
        <v>0</v>
      </c>
      <c r="D64" s="98">
        <f>(D63/C63)-1</f>
        <v>6.2497602177913114E-2</v>
      </c>
      <c r="E64" s="98">
        <f>(E63/D63)-1</f>
        <v>7.9150469012801983E-2</v>
      </c>
      <c r="F64" s="92"/>
      <c r="G64" s="99">
        <f>CHOOSE($C$5,G65,G66,G67)</f>
        <v>0.08</v>
      </c>
      <c r="H64" s="99">
        <f t="shared" ref="H64:K64" si="32">CHOOSE($C$5,H65,H66,H67)</f>
        <v>0.08</v>
      </c>
      <c r="I64" s="99">
        <f t="shared" si="32"/>
        <v>0.08</v>
      </c>
      <c r="J64" s="99">
        <f t="shared" si="32"/>
        <v>0.08</v>
      </c>
      <c r="K64" s="99">
        <f t="shared" si="32"/>
        <v>0.08</v>
      </c>
    </row>
    <row r="65" spans="2:11" x14ac:dyDescent="0.15">
      <c r="B65" s="11" t="s">
        <v>15</v>
      </c>
      <c r="C65" s="20"/>
      <c r="D65" s="20"/>
      <c r="E65" s="20"/>
      <c r="G65" s="47">
        <v>0.08</v>
      </c>
      <c r="H65" s="47">
        <v>0.08</v>
      </c>
      <c r="I65" s="47">
        <v>0.08</v>
      </c>
      <c r="J65" s="47">
        <v>0.08</v>
      </c>
      <c r="K65" s="47">
        <v>0.08</v>
      </c>
    </row>
    <row r="66" spans="2:11" x14ac:dyDescent="0.15">
      <c r="B66" s="11" t="s">
        <v>16</v>
      </c>
      <c r="C66" s="20"/>
      <c r="D66" s="20"/>
      <c r="E66" s="20"/>
      <c r="G66" s="47">
        <v>7.0000000000000007E-2</v>
      </c>
      <c r="H66" s="47">
        <v>7.0000000000000007E-2</v>
      </c>
      <c r="I66" s="47">
        <v>7.0000000000000007E-2</v>
      </c>
      <c r="J66" s="47">
        <v>7.0000000000000007E-2</v>
      </c>
      <c r="K66" s="47">
        <v>7.0000000000000007E-2</v>
      </c>
    </row>
    <row r="67" spans="2:11" x14ac:dyDescent="0.15">
      <c r="B67" s="11" t="s">
        <v>18</v>
      </c>
      <c r="C67" s="20"/>
      <c r="D67" s="20"/>
      <c r="E67" s="20"/>
      <c r="G67" s="47">
        <v>0.06</v>
      </c>
      <c r="H67" s="47">
        <v>0.06</v>
      </c>
      <c r="I67" s="47">
        <v>0.06</v>
      </c>
      <c r="J67" s="47">
        <v>0.06</v>
      </c>
      <c r="K67" s="47">
        <v>0.06</v>
      </c>
    </row>
    <row r="68" spans="2:11" ht="16" customHeight="1" x14ac:dyDescent="0.15">
      <c r="G68" s="23"/>
      <c r="H68" s="23"/>
      <c r="I68" s="23"/>
      <c r="J68" s="23"/>
      <c r="K68" s="23"/>
    </row>
    <row r="69" spans="2:11" x14ac:dyDescent="0.15">
      <c r="B69" s="68" t="s">
        <v>188</v>
      </c>
      <c r="C69" s="69">
        <f>SUM('BS source'!D5:D8,'BS source'!D10)</f>
        <v>299409</v>
      </c>
      <c r="D69" s="69">
        <f>SUM('BS source'!E5:E8,'BS source'!E10)</f>
        <v>313223</v>
      </c>
      <c r="E69" s="69">
        <f>SUM('BS source'!F5:F8,'BS source'!F10)</f>
        <v>317072</v>
      </c>
      <c r="F69" s="68"/>
      <c r="G69" s="76">
        <f>E69*(1+G70)</f>
        <v>329754.88</v>
      </c>
      <c r="H69" s="76">
        <f>G69*(1+H70)</f>
        <v>342945.07520000002</v>
      </c>
      <c r="I69" s="76">
        <f>H69*(1+I70)</f>
        <v>356662.87820800004</v>
      </c>
      <c r="J69" s="76">
        <f>I69*(1+J70)</f>
        <v>370929.39333632006</v>
      </c>
      <c r="K69" s="76">
        <f>J69*(1+K70)</f>
        <v>385766.5690697729</v>
      </c>
    </row>
    <row r="70" spans="2:11" x14ac:dyDescent="0.15">
      <c r="B70" s="92" t="s">
        <v>173</v>
      </c>
      <c r="C70" s="95">
        <v>0</v>
      </c>
      <c r="D70" s="98">
        <f>(D69/C69)-1</f>
        <v>4.6137557655247408E-2</v>
      </c>
      <c r="E70" s="98">
        <f>(E69/D69)-1</f>
        <v>1.2288369628028484E-2</v>
      </c>
      <c r="F70" s="92"/>
      <c r="G70" s="99">
        <f>CHOOSE($C$5,G71,G72,G73)</f>
        <v>0.04</v>
      </c>
      <c r="H70" s="99">
        <f t="shared" ref="H70:K70" si="33">CHOOSE($C$5,H71,H72,H73)</f>
        <v>0.04</v>
      </c>
      <c r="I70" s="99">
        <f t="shared" si="33"/>
        <v>0.04</v>
      </c>
      <c r="J70" s="99">
        <f t="shared" si="33"/>
        <v>0.04</v>
      </c>
      <c r="K70" s="99">
        <f t="shared" si="33"/>
        <v>0.04</v>
      </c>
    </row>
    <row r="71" spans="2:11" x14ac:dyDescent="0.15">
      <c r="B71" s="11" t="s">
        <v>15</v>
      </c>
      <c r="C71" s="20"/>
      <c r="D71" s="20"/>
      <c r="E71" s="20"/>
      <c r="G71" s="47">
        <v>0.04</v>
      </c>
      <c r="H71" s="47">
        <v>0.04</v>
      </c>
      <c r="I71" s="47">
        <v>0.04</v>
      </c>
      <c r="J71" s="47">
        <v>0.04</v>
      </c>
      <c r="K71" s="47">
        <v>0.04</v>
      </c>
    </row>
    <row r="72" spans="2:11" x14ac:dyDescent="0.15">
      <c r="B72" s="11" t="s">
        <v>16</v>
      </c>
      <c r="C72" s="20"/>
      <c r="D72" s="20"/>
      <c r="E72" s="20"/>
      <c r="G72" s="47">
        <v>0.03</v>
      </c>
      <c r="H72" s="47">
        <v>0.03</v>
      </c>
      <c r="I72" s="47">
        <v>0.03</v>
      </c>
      <c r="J72" s="47">
        <v>0.03</v>
      </c>
      <c r="K72" s="47">
        <v>0.03</v>
      </c>
    </row>
    <row r="73" spans="2:11" x14ac:dyDescent="0.15">
      <c r="B73" s="11" t="s">
        <v>18</v>
      </c>
      <c r="C73" s="20"/>
      <c r="D73" s="20"/>
      <c r="E73" s="20"/>
      <c r="G73" s="47">
        <v>0.02</v>
      </c>
      <c r="H73" s="47">
        <v>0.02</v>
      </c>
      <c r="I73" s="47">
        <v>0.02</v>
      </c>
      <c r="J73" s="47">
        <v>0.02</v>
      </c>
      <c r="K73" s="47">
        <v>0.02</v>
      </c>
    </row>
    <row r="74" spans="2:11" ht="13" customHeight="1" x14ac:dyDescent="0.15">
      <c r="G74" s="23"/>
      <c r="H74" s="23"/>
      <c r="I74" s="23"/>
      <c r="J74" s="23"/>
      <c r="K74" s="23"/>
    </row>
    <row r="75" spans="2:11" x14ac:dyDescent="0.15">
      <c r="B75" s="68" t="s">
        <v>112</v>
      </c>
      <c r="C75" s="69">
        <f>'BS source'!D14</f>
        <v>100528</v>
      </c>
      <c r="D75" s="69">
        <f>'BS source'!E14</f>
        <v>85951</v>
      </c>
      <c r="E75" s="69">
        <f>'BS source'!F14</f>
        <v>83728</v>
      </c>
      <c r="F75" s="68"/>
      <c r="G75" s="76">
        <f>ABS(G76*(G15)/365)</f>
        <v>44702.493595890417</v>
      </c>
      <c r="H75" s="76">
        <f t="shared" ref="H75:K75" si="34">ABS(H76*(H15)/365)</f>
        <v>46937.618275684938</v>
      </c>
      <c r="I75" s="76">
        <f t="shared" si="34"/>
        <v>49284.499189469178</v>
      </c>
      <c r="J75" s="76">
        <f t="shared" si="34"/>
        <v>51748.724148942652</v>
      </c>
      <c r="K75" s="76">
        <f t="shared" si="34"/>
        <v>54336.160356389795</v>
      </c>
    </row>
    <row r="76" spans="2:11" x14ac:dyDescent="0.15">
      <c r="B76" s="22" t="s">
        <v>144</v>
      </c>
      <c r="C76" s="22">
        <f>-C75/C15*365</f>
        <v>39.280857113493887</v>
      </c>
      <c r="D76" s="22">
        <f>-D75/D15*365</f>
        <v>39.237558205124678</v>
      </c>
      <c r="E76" s="22">
        <f>-E75/E15*365</f>
        <v>37.258402144745972</v>
      </c>
      <c r="F76" s="92"/>
      <c r="G76" s="102">
        <f>CHOOSE($C$5,G77,G78,G79)</f>
        <v>25</v>
      </c>
      <c r="H76" s="102">
        <f t="shared" ref="H76:K76" si="35">CHOOSE($C$5,H77,H78,H79)</f>
        <v>25</v>
      </c>
      <c r="I76" s="102">
        <f t="shared" si="35"/>
        <v>25</v>
      </c>
      <c r="J76" s="102">
        <f t="shared" si="35"/>
        <v>25</v>
      </c>
      <c r="K76" s="102">
        <f t="shared" si="35"/>
        <v>25</v>
      </c>
    </row>
    <row r="77" spans="2:11" x14ac:dyDescent="0.15">
      <c r="B77" s="11" t="s">
        <v>15</v>
      </c>
      <c r="C77" s="20"/>
      <c r="D77" s="20"/>
      <c r="E77" s="20"/>
      <c r="G77" s="94">
        <v>25</v>
      </c>
      <c r="H77" s="94">
        <v>25</v>
      </c>
      <c r="I77" s="94">
        <v>25</v>
      </c>
      <c r="J77" s="94">
        <v>25</v>
      </c>
      <c r="K77" s="94">
        <v>25</v>
      </c>
    </row>
    <row r="78" spans="2:11" x14ac:dyDescent="0.15">
      <c r="B78" s="11" t="s">
        <v>16</v>
      </c>
      <c r="C78" s="20"/>
      <c r="D78" s="20"/>
      <c r="E78" s="20"/>
      <c r="G78" s="94">
        <v>30</v>
      </c>
      <c r="H78" s="94">
        <v>30</v>
      </c>
      <c r="I78" s="94">
        <v>30</v>
      </c>
      <c r="J78" s="94">
        <v>30</v>
      </c>
      <c r="K78" s="94">
        <v>30</v>
      </c>
    </row>
    <row r="79" spans="2:11" x14ac:dyDescent="0.15">
      <c r="B79" s="11" t="s">
        <v>18</v>
      </c>
      <c r="C79" s="20"/>
      <c r="D79" s="20"/>
      <c r="E79" s="20"/>
      <c r="G79" s="94">
        <v>35</v>
      </c>
      <c r="H79" s="94">
        <v>35</v>
      </c>
      <c r="I79" s="94">
        <v>35</v>
      </c>
      <c r="J79" s="94">
        <v>35</v>
      </c>
      <c r="K79" s="94">
        <v>35</v>
      </c>
    </row>
    <row r="80" spans="2:11" ht="13" customHeight="1" x14ac:dyDescent="0.15">
      <c r="G80" s="23"/>
      <c r="H80" s="23"/>
      <c r="I80" s="23"/>
      <c r="J80" s="23"/>
      <c r="K80" s="23"/>
    </row>
    <row r="81" spans="2:11" x14ac:dyDescent="0.15">
      <c r="B81" s="68" t="s">
        <v>142</v>
      </c>
      <c r="C81" s="69">
        <f>'BS source'!D15</f>
        <v>164442</v>
      </c>
      <c r="D81" s="69">
        <f>'BS source'!E15</f>
        <v>163919</v>
      </c>
      <c r="E81" s="69">
        <f>'BS source'!F15</f>
        <v>167884</v>
      </c>
      <c r="F81" s="68"/>
      <c r="G81" s="76">
        <f>G82*(G9/365)</f>
        <v>181401.42328767126</v>
      </c>
      <c r="H81" s="76">
        <f t="shared" ref="H81:K81" si="36">H82*(H9/365)</f>
        <v>190471.49445205482</v>
      </c>
      <c r="I81" s="76">
        <f t="shared" si="36"/>
        <v>199995.06917465758</v>
      </c>
      <c r="J81" s="76">
        <f t="shared" si="36"/>
        <v>209994.82263339049</v>
      </c>
      <c r="K81" s="76">
        <f t="shared" si="36"/>
        <v>220494.56376506004</v>
      </c>
    </row>
    <row r="82" spans="2:11" x14ac:dyDescent="0.15">
      <c r="B82" s="22" t="s">
        <v>143</v>
      </c>
      <c r="C82" s="22">
        <f>C81/C9*365</f>
        <v>26.483429691405608</v>
      </c>
      <c r="D82" s="22">
        <f>D81/D9*365</f>
        <v>32.229748547301647</v>
      </c>
      <c r="E82" s="22">
        <f>E81/E9*365</f>
        <v>34.011513736669343</v>
      </c>
      <c r="F82" s="92"/>
      <c r="G82" s="102">
        <f>CHOOSE($C$5,G83,G84,G85)</f>
        <v>35</v>
      </c>
      <c r="H82" s="102">
        <f t="shared" ref="H82:K82" si="37">CHOOSE($C$5,H83,H84,H85)</f>
        <v>35</v>
      </c>
      <c r="I82" s="102">
        <f t="shared" si="37"/>
        <v>35</v>
      </c>
      <c r="J82" s="102">
        <f t="shared" si="37"/>
        <v>35</v>
      </c>
      <c r="K82" s="102">
        <f t="shared" si="37"/>
        <v>35</v>
      </c>
    </row>
    <row r="83" spans="2:11" x14ac:dyDescent="0.15">
      <c r="B83" s="11" t="s">
        <v>15</v>
      </c>
      <c r="C83" s="20"/>
      <c r="D83" s="20"/>
      <c r="E83" s="20"/>
      <c r="G83" s="94">
        <v>35</v>
      </c>
      <c r="H83" s="94">
        <v>35</v>
      </c>
      <c r="I83" s="94">
        <v>35</v>
      </c>
      <c r="J83" s="94">
        <v>35</v>
      </c>
      <c r="K83" s="94">
        <v>35</v>
      </c>
    </row>
    <row r="84" spans="2:11" x14ac:dyDescent="0.15">
      <c r="B84" s="11" t="s">
        <v>16</v>
      </c>
      <c r="C84" s="20"/>
      <c r="D84" s="20"/>
      <c r="E84" s="20"/>
      <c r="G84" s="94">
        <v>40</v>
      </c>
      <c r="H84" s="94">
        <v>40</v>
      </c>
      <c r="I84" s="94">
        <v>40</v>
      </c>
      <c r="J84" s="94">
        <v>40</v>
      </c>
      <c r="K84" s="94">
        <v>40</v>
      </c>
    </row>
    <row r="85" spans="2:11" x14ac:dyDescent="0.15">
      <c r="B85" s="11" t="s">
        <v>18</v>
      </c>
      <c r="C85" s="20"/>
      <c r="D85" s="20"/>
      <c r="E85" s="20"/>
      <c r="G85" s="94">
        <v>45</v>
      </c>
      <c r="H85" s="94">
        <v>45</v>
      </c>
      <c r="I85" s="94">
        <v>45</v>
      </c>
      <c r="J85" s="94">
        <v>45</v>
      </c>
      <c r="K85" s="94">
        <v>45</v>
      </c>
    </row>
    <row r="86" spans="2:11" ht="12" customHeight="1" x14ac:dyDescent="0.15">
      <c r="C86" s="16"/>
      <c r="D86" s="16"/>
      <c r="E86" s="16"/>
      <c r="G86" s="23"/>
      <c r="H86" s="23"/>
      <c r="I86" s="23"/>
      <c r="J86" s="23"/>
      <c r="K86" s="23"/>
    </row>
    <row r="87" spans="2:11" x14ac:dyDescent="0.15">
      <c r="B87" s="68" t="s">
        <v>145</v>
      </c>
      <c r="C87" s="69">
        <f>'BS source'!J20</f>
        <v>135390</v>
      </c>
      <c r="D87" s="69">
        <f>'BS source'!K20</f>
        <v>151553</v>
      </c>
      <c r="E87" s="69">
        <f>'BS source'!L20</f>
        <v>157467</v>
      </c>
      <c r="F87" s="68"/>
      <c r="G87" s="76">
        <f>ABS(G88*(G15/365))</f>
        <v>125166.98206849316</v>
      </c>
      <c r="H87" s="76">
        <f t="shared" ref="H87:K87" si="38">ABS(H88*(H15/365))</f>
        <v>131425.33117191782</v>
      </c>
      <c r="I87" s="76">
        <f t="shared" si="38"/>
        <v>137996.59773051369</v>
      </c>
      <c r="J87" s="76">
        <f t="shared" si="38"/>
        <v>144896.42761703944</v>
      </c>
      <c r="K87" s="76">
        <f t="shared" si="38"/>
        <v>152141.24899789141</v>
      </c>
    </row>
    <row r="88" spans="2:11" x14ac:dyDescent="0.15">
      <c r="B88" s="22" t="s">
        <v>146</v>
      </c>
      <c r="C88" s="22">
        <f>-C87/C15*365</f>
        <v>52.90302447672228</v>
      </c>
      <c r="D88" s="22">
        <f t="shared" ref="D88:E88" si="39">-D87/D15*365</f>
        <v>69.185578511724827</v>
      </c>
      <c r="E88" s="22">
        <f t="shared" si="39"/>
        <v>70.071765843286755</v>
      </c>
      <c r="F88" s="92"/>
      <c r="G88" s="102">
        <f>CHOOSE($C$5,G89,G90,G91)</f>
        <v>70</v>
      </c>
      <c r="H88" s="102">
        <f t="shared" ref="H88:K88" si="40">CHOOSE($C$5,H89,H90,H91)</f>
        <v>70</v>
      </c>
      <c r="I88" s="102">
        <f t="shared" si="40"/>
        <v>70</v>
      </c>
      <c r="J88" s="102">
        <f t="shared" si="40"/>
        <v>70</v>
      </c>
      <c r="K88" s="102">
        <f t="shared" si="40"/>
        <v>70</v>
      </c>
    </row>
    <row r="89" spans="2:11" x14ac:dyDescent="0.15">
      <c r="B89" s="11" t="s">
        <v>15</v>
      </c>
      <c r="C89" s="20"/>
      <c r="D89" s="20"/>
      <c r="E89" s="20"/>
      <c r="G89" s="94">
        <v>70</v>
      </c>
      <c r="H89" s="94">
        <v>70</v>
      </c>
      <c r="I89" s="94">
        <v>70</v>
      </c>
      <c r="J89" s="94">
        <v>70</v>
      </c>
      <c r="K89" s="94">
        <v>70</v>
      </c>
    </row>
    <row r="90" spans="2:11" x14ac:dyDescent="0.15">
      <c r="B90" s="11" t="s">
        <v>16</v>
      </c>
      <c r="C90" s="20"/>
      <c r="D90" s="20"/>
      <c r="E90" s="20"/>
      <c r="G90" s="94">
        <v>60</v>
      </c>
      <c r="H90" s="94">
        <v>60</v>
      </c>
      <c r="I90" s="94">
        <v>60</v>
      </c>
      <c r="J90" s="94">
        <v>60</v>
      </c>
      <c r="K90" s="94">
        <v>60</v>
      </c>
    </row>
    <row r="91" spans="2:11" x14ac:dyDescent="0.15">
      <c r="B91" s="11" t="s">
        <v>18</v>
      </c>
      <c r="C91" s="20"/>
      <c r="D91" s="20"/>
      <c r="E91" s="20"/>
      <c r="G91" s="94">
        <v>50</v>
      </c>
      <c r="H91" s="94">
        <v>50</v>
      </c>
      <c r="I91" s="94">
        <v>50</v>
      </c>
      <c r="J91" s="94">
        <v>50</v>
      </c>
      <c r="K91" s="94">
        <v>50</v>
      </c>
    </row>
    <row r="92" spans="2:11" x14ac:dyDescent="0.15">
      <c r="G92" s="23"/>
      <c r="H92" s="23"/>
      <c r="I92" s="23"/>
      <c r="J92" s="23"/>
      <c r="K92" s="23"/>
    </row>
    <row r="93" spans="2:11" x14ac:dyDescent="0.15">
      <c r="B93" s="68" t="s">
        <v>196</v>
      </c>
      <c r="C93" s="69">
        <f>SUM('BS source'!J22:J23)</f>
        <v>121232</v>
      </c>
      <c r="D93" s="69">
        <f>SUM('BS source'!K22:K23)</f>
        <v>96646</v>
      </c>
      <c r="E93" s="69">
        <f>SUM('BS source'!L22:L23)</f>
        <v>84239</v>
      </c>
      <c r="F93" s="68"/>
      <c r="G93" s="76">
        <f>E93*(1+G94)</f>
        <v>74130.320000000007</v>
      </c>
      <c r="H93" s="76">
        <f>G93*(1+H94)</f>
        <v>65234.681600000004</v>
      </c>
      <c r="I93" s="76">
        <f>H93*(1+I94)</f>
        <v>57406.519808000005</v>
      </c>
      <c r="J93" s="76">
        <f>I93*(1+J94)</f>
        <v>50517.737431040005</v>
      </c>
      <c r="K93" s="76">
        <f>J93*(1+K94)</f>
        <v>44455.608939315207</v>
      </c>
    </row>
    <row r="94" spans="2:11" x14ac:dyDescent="0.15">
      <c r="B94" s="92" t="s">
        <v>173</v>
      </c>
      <c r="C94" s="95">
        <v>0</v>
      </c>
      <c r="D94" s="98">
        <f>(D93/C93)-1</f>
        <v>-0.20280124059654214</v>
      </c>
      <c r="E94" s="98">
        <f>(E93/D93)-1</f>
        <v>-0.12837572170601996</v>
      </c>
      <c r="F94" s="92"/>
      <c r="G94" s="99">
        <f>CHOOSE($C$5,G95,G96,G97)</f>
        <v>-0.12</v>
      </c>
      <c r="H94" s="99">
        <f t="shared" ref="H94:K94" si="41">CHOOSE($C$5,H95,H96,H97)</f>
        <v>-0.12</v>
      </c>
      <c r="I94" s="99">
        <f t="shared" si="41"/>
        <v>-0.12</v>
      </c>
      <c r="J94" s="99">
        <f t="shared" si="41"/>
        <v>-0.12</v>
      </c>
      <c r="K94" s="99">
        <f t="shared" si="41"/>
        <v>-0.12</v>
      </c>
    </row>
    <row r="95" spans="2:11" x14ac:dyDescent="0.15">
      <c r="B95" s="11" t="s">
        <v>15</v>
      </c>
      <c r="C95" s="20"/>
      <c r="D95" s="20"/>
      <c r="E95" s="20"/>
      <c r="G95" s="47">
        <v>-0.12</v>
      </c>
      <c r="H95" s="47">
        <v>-0.12</v>
      </c>
      <c r="I95" s="47">
        <v>-0.12</v>
      </c>
      <c r="J95" s="47">
        <v>-0.12</v>
      </c>
      <c r="K95" s="47">
        <v>-0.12</v>
      </c>
    </row>
    <row r="96" spans="2:11" x14ac:dyDescent="0.15">
      <c r="B96" s="11" t="s">
        <v>16</v>
      </c>
      <c r="C96" s="20"/>
      <c r="D96" s="20"/>
      <c r="E96" s="20"/>
      <c r="G96" s="47">
        <v>-0.08</v>
      </c>
      <c r="H96" s="47">
        <v>-0.08</v>
      </c>
      <c r="I96" s="47">
        <v>-0.08</v>
      </c>
      <c r="J96" s="47">
        <v>-0.08</v>
      </c>
      <c r="K96" s="47">
        <v>-0.08</v>
      </c>
    </row>
    <row r="97" spans="2:11" x14ac:dyDescent="0.15">
      <c r="B97" s="11" t="s">
        <v>18</v>
      </c>
      <c r="C97" s="20"/>
      <c r="D97" s="20"/>
      <c r="E97" s="20"/>
      <c r="G97" s="47">
        <v>-0.04</v>
      </c>
      <c r="H97" s="47">
        <v>-0.04</v>
      </c>
      <c r="I97" s="47">
        <v>-0.04</v>
      </c>
      <c r="J97" s="47">
        <v>-0.04</v>
      </c>
      <c r="K97" s="47">
        <v>-0.04</v>
      </c>
    </row>
    <row r="98" spans="2:11" x14ac:dyDescent="0.15">
      <c r="G98" s="23"/>
      <c r="H98" s="23"/>
      <c r="I98" s="23"/>
      <c r="J98" s="23"/>
      <c r="K98" s="23"/>
    </row>
    <row r="99" spans="2:11" x14ac:dyDescent="0.15">
      <c r="B99" s="68" t="s">
        <v>124</v>
      </c>
      <c r="C99" s="69">
        <f>'BS source'!J36</f>
        <v>393144</v>
      </c>
      <c r="D99" s="69">
        <f>'BS source'!K36</f>
        <v>290147</v>
      </c>
      <c r="E99" s="69">
        <f>'BS source'!L36</f>
        <v>319290</v>
      </c>
      <c r="F99" s="68"/>
      <c r="G99" s="76">
        <f>E99*(1+G100)</f>
        <v>344833.2</v>
      </c>
      <c r="H99" s="76">
        <f>G99*(1+H100)</f>
        <v>372419.85600000003</v>
      </c>
      <c r="I99" s="76">
        <f>H99*(1+I100)</f>
        <v>402213.44448000006</v>
      </c>
      <c r="J99" s="76">
        <f>I99*(1+J100)</f>
        <v>434390.52003840008</v>
      </c>
      <c r="K99" s="76">
        <f>J99*(1+K100)</f>
        <v>469141.76164147211</v>
      </c>
    </row>
    <row r="100" spans="2:11" x14ac:dyDescent="0.15">
      <c r="B100" s="92" t="s">
        <v>173</v>
      </c>
      <c r="C100" s="95">
        <v>0</v>
      </c>
      <c r="D100" s="98">
        <f>(D99/C99)-1</f>
        <v>-0.26198288667765501</v>
      </c>
      <c r="E100" s="98">
        <f>(E99/D99)-1</f>
        <v>0.10044218964869533</v>
      </c>
      <c r="F100" s="92"/>
      <c r="G100" s="99">
        <f>CHOOSE($C$5,G101,G102,G103)</f>
        <v>0.08</v>
      </c>
      <c r="H100" s="99">
        <f t="shared" ref="H100:K100" si="42">CHOOSE($C$5,H101,H102,H103)</f>
        <v>0.08</v>
      </c>
      <c r="I100" s="99">
        <f t="shared" si="42"/>
        <v>0.08</v>
      </c>
      <c r="J100" s="99">
        <f t="shared" si="42"/>
        <v>0.08</v>
      </c>
      <c r="K100" s="99">
        <f t="shared" si="42"/>
        <v>0.08</v>
      </c>
    </row>
    <row r="101" spans="2:11" x14ac:dyDescent="0.15">
      <c r="B101" s="11" t="s">
        <v>15</v>
      </c>
      <c r="C101" s="20"/>
      <c r="D101" s="20"/>
      <c r="E101" s="20"/>
      <c r="G101" s="47">
        <v>0.08</v>
      </c>
      <c r="H101" s="47">
        <v>0.08</v>
      </c>
      <c r="I101" s="47">
        <v>0.08</v>
      </c>
      <c r="J101" s="47">
        <v>0.08</v>
      </c>
      <c r="K101" s="47">
        <v>0.08</v>
      </c>
    </row>
    <row r="102" spans="2:11" x14ac:dyDescent="0.15">
      <c r="B102" s="11" t="s">
        <v>16</v>
      </c>
      <c r="C102" s="20"/>
      <c r="D102" s="20"/>
      <c r="E102" s="20"/>
      <c r="G102" s="47">
        <v>0.05</v>
      </c>
      <c r="H102" s="47">
        <v>0.05</v>
      </c>
      <c r="I102" s="47">
        <v>0.05</v>
      </c>
      <c r="J102" s="47">
        <v>0.05</v>
      </c>
      <c r="K102" s="47">
        <v>0.05</v>
      </c>
    </row>
    <row r="103" spans="2:11" x14ac:dyDescent="0.15">
      <c r="B103" s="11" t="s">
        <v>18</v>
      </c>
      <c r="C103" s="20"/>
      <c r="D103" s="20"/>
      <c r="E103" s="20"/>
      <c r="G103" s="47">
        <v>0.03</v>
      </c>
      <c r="H103" s="47">
        <v>0.03</v>
      </c>
      <c r="I103" s="47">
        <v>0.03</v>
      </c>
      <c r="J103" s="47">
        <v>0.03</v>
      </c>
      <c r="K103" s="47">
        <v>0.03</v>
      </c>
    </row>
    <row r="104" spans="2:11" x14ac:dyDescent="0.15">
      <c r="G104" s="23"/>
      <c r="H104" s="23"/>
      <c r="I104" s="23"/>
      <c r="J104" s="23"/>
      <c r="K104" s="23"/>
    </row>
    <row r="105" spans="2:11" x14ac:dyDescent="0.15">
      <c r="B105" s="68" t="s">
        <v>27</v>
      </c>
      <c r="C105" s="69">
        <f>SUM('BS source'!D9,'BS source'!D16:D18,'BS source'!D22)</f>
        <v>399232</v>
      </c>
      <c r="D105" s="69">
        <f>SUM('BS source'!E9,'BS source'!E16:E18,'BS source'!E22)</f>
        <v>331157</v>
      </c>
      <c r="E105" s="69">
        <f>SUM('BS source'!F9,'BS source'!F16:F18,'BS source'!F22)</f>
        <v>143986</v>
      </c>
      <c r="F105" s="68"/>
      <c r="G105" s="76">
        <f>G106*G9</f>
        <v>189175.77000000002</v>
      </c>
      <c r="H105" s="76">
        <f>H106*H9</f>
        <v>198634.55850000004</v>
      </c>
      <c r="I105" s="76">
        <f>I106*I9</f>
        <v>208566.28642500006</v>
      </c>
      <c r="J105" s="76">
        <f>J106*J9</f>
        <v>218994.60074625007</v>
      </c>
      <c r="K105" s="76">
        <f>K106*K9</f>
        <v>229944.33078356262</v>
      </c>
    </row>
    <row r="106" spans="2:11" x14ac:dyDescent="0.15">
      <c r="B106" s="22" t="s">
        <v>26</v>
      </c>
      <c r="C106" s="24">
        <f>C105/C9</f>
        <v>0.17615458708694465</v>
      </c>
      <c r="D106" s="24">
        <f>D105/D9</f>
        <v>0.17838925690041818</v>
      </c>
      <c r="E106" s="24">
        <f>E105/E9</f>
        <v>7.9917898576546034E-2</v>
      </c>
      <c r="F106" s="92"/>
      <c r="G106" s="99">
        <f>CHOOSE($C$5,G107,G108,G109)</f>
        <v>0.1</v>
      </c>
      <c r="H106" s="99">
        <f t="shared" ref="H106:K106" si="43">CHOOSE($C$5,H107,H108,H109)</f>
        <v>0.1</v>
      </c>
      <c r="I106" s="99">
        <f t="shared" si="43"/>
        <v>0.1</v>
      </c>
      <c r="J106" s="99">
        <f t="shared" si="43"/>
        <v>0.1</v>
      </c>
      <c r="K106" s="99">
        <f t="shared" si="43"/>
        <v>0.1</v>
      </c>
    </row>
    <row r="107" spans="2:11" x14ac:dyDescent="0.15">
      <c r="B107" s="11" t="s">
        <v>15</v>
      </c>
      <c r="C107" s="20"/>
      <c r="D107" s="20"/>
      <c r="E107" s="20"/>
      <c r="G107" s="47">
        <v>0.1</v>
      </c>
      <c r="H107" s="47">
        <v>0.1</v>
      </c>
      <c r="I107" s="47">
        <v>0.1</v>
      </c>
      <c r="J107" s="47">
        <v>0.1</v>
      </c>
      <c r="K107" s="47">
        <v>0.1</v>
      </c>
    </row>
    <row r="108" spans="2:11" x14ac:dyDescent="0.15">
      <c r="B108" s="11" t="s">
        <v>16</v>
      </c>
      <c r="C108" s="20"/>
      <c r="D108" s="20"/>
      <c r="E108" s="20"/>
      <c r="G108" s="47">
        <v>0.08</v>
      </c>
      <c r="H108" s="47">
        <v>0.08</v>
      </c>
      <c r="I108" s="47">
        <v>0.08</v>
      </c>
      <c r="J108" s="47">
        <v>0.08</v>
      </c>
      <c r="K108" s="47">
        <v>0.08</v>
      </c>
    </row>
    <row r="109" spans="2:11" x14ac:dyDescent="0.15">
      <c r="B109" s="11" t="s">
        <v>18</v>
      </c>
      <c r="C109" s="20"/>
      <c r="D109" s="20"/>
      <c r="E109" s="20"/>
      <c r="G109" s="47">
        <v>6.5000000000000002E-2</v>
      </c>
      <c r="H109" s="47">
        <v>6.5000000000000002E-2</v>
      </c>
      <c r="I109" s="47">
        <v>6.5000000000000002E-2</v>
      </c>
      <c r="J109" s="47">
        <v>6.5000000000000002E-2</v>
      </c>
      <c r="K109" s="47">
        <v>6.5000000000000002E-2</v>
      </c>
    </row>
    <row r="110" spans="2:11" x14ac:dyDescent="0.15">
      <c r="G110" s="23"/>
      <c r="H110" s="23"/>
      <c r="I110" s="23"/>
      <c r="J110" s="23"/>
      <c r="K110" s="23"/>
    </row>
    <row r="111" spans="2:11" x14ac:dyDescent="0.15">
      <c r="B111" s="68" t="s">
        <v>28</v>
      </c>
      <c r="C111" s="69">
        <f>SUM('BS source'!J15:J17,'BS source'!J27)</f>
        <v>177011</v>
      </c>
      <c r="D111" s="69">
        <f>SUM('BS source'!K15:K17,'BS source'!K27)</f>
        <v>202502</v>
      </c>
      <c r="E111" s="69">
        <f>SUM('BS source'!L15:L17,'BS source'!L27)</f>
        <v>211279</v>
      </c>
      <c r="F111" s="68"/>
      <c r="G111" s="76">
        <f>G112*Assumptions!G$9</f>
        <v>170258.193</v>
      </c>
      <c r="H111" s="76">
        <f>H112*Assumptions!H$9</f>
        <v>178771.10265000002</v>
      </c>
      <c r="I111" s="76">
        <f>I112*Assumptions!I$9</f>
        <v>187709.65778250003</v>
      </c>
      <c r="J111" s="76">
        <f>J112*Assumptions!J$9</f>
        <v>197095.14067162503</v>
      </c>
      <c r="K111" s="76">
        <f>K112*Assumptions!K$9</f>
        <v>206949.89770520633</v>
      </c>
    </row>
    <row r="112" spans="2:11" x14ac:dyDescent="0.15">
      <c r="B112" s="92" t="s">
        <v>173</v>
      </c>
      <c r="C112" s="95">
        <v>0</v>
      </c>
      <c r="D112" s="98">
        <f>(D111/C111)-1</f>
        <v>0.14400799950285581</v>
      </c>
      <c r="E112" s="98">
        <f>(E111/D111)-1</f>
        <v>4.334278179968587E-2</v>
      </c>
      <c r="F112" s="92"/>
      <c r="G112" s="99">
        <f>CHOOSE($C$5,G113,G114,G115)</f>
        <v>0.09</v>
      </c>
      <c r="H112" s="99">
        <f t="shared" ref="H112:K112" si="44">CHOOSE($C$5,H113,H114,H115)</f>
        <v>0.09</v>
      </c>
      <c r="I112" s="99">
        <f t="shared" si="44"/>
        <v>0.09</v>
      </c>
      <c r="J112" s="99">
        <f t="shared" si="44"/>
        <v>0.09</v>
      </c>
      <c r="K112" s="99">
        <f t="shared" si="44"/>
        <v>0.09</v>
      </c>
    </row>
    <row r="113" spans="2:11" x14ac:dyDescent="0.15">
      <c r="B113" s="11" t="s">
        <v>15</v>
      </c>
      <c r="C113" s="20"/>
      <c r="D113" s="20"/>
      <c r="E113" s="20"/>
      <c r="G113" s="47">
        <v>0.09</v>
      </c>
      <c r="H113" s="47">
        <v>0.09</v>
      </c>
      <c r="I113" s="47">
        <v>0.09</v>
      </c>
      <c r="J113" s="47">
        <v>0.09</v>
      </c>
      <c r="K113" s="47">
        <v>0.09</v>
      </c>
    </row>
    <row r="114" spans="2:11" x14ac:dyDescent="0.15">
      <c r="B114" s="11" t="s">
        <v>16</v>
      </c>
      <c r="C114" s="20"/>
      <c r="D114" s="20"/>
      <c r="E114" s="20"/>
      <c r="G114" s="47">
        <v>7.0000000000000007E-2</v>
      </c>
      <c r="H114" s="47">
        <v>7.0000000000000007E-2</v>
      </c>
      <c r="I114" s="47">
        <v>7.0000000000000007E-2</v>
      </c>
      <c r="J114" s="47">
        <v>7.0000000000000007E-2</v>
      </c>
      <c r="K114" s="47">
        <v>7.0000000000000007E-2</v>
      </c>
    </row>
    <row r="115" spans="2:11" x14ac:dyDescent="0.15">
      <c r="B115" s="11" t="s">
        <v>18</v>
      </c>
      <c r="C115" s="20"/>
      <c r="D115" s="20"/>
      <c r="E115" s="20"/>
      <c r="G115" s="47">
        <v>0.05</v>
      </c>
      <c r="H115" s="47">
        <v>0.05</v>
      </c>
      <c r="I115" s="47">
        <v>0.05</v>
      </c>
      <c r="J115" s="47">
        <v>0.05</v>
      </c>
      <c r="K115" s="47">
        <v>0.05</v>
      </c>
    </row>
    <row r="118" spans="2:11" ht="16" x14ac:dyDescent="0.2">
      <c r="B118" s="97" t="s">
        <v>258</v>
      </c>
      <c r="C118" s="70"/>
      <c r="D118" s="70"/>
      <c r="E118" s="70"/>
      <c r="F118" s="70"/>
      <c r="G118" s="70"/>
      <c r="H118" s="70"/>
      <c r="I118" s="70"/>
      <c r="J118" s="70"/>
      <c r="K118" s="70"/>
    </row>
    <row r="119" spans="2:11" x14ac:dyDescent="0.15">
      <c r="B119" s="11" t="s">
        <v>88</v>
      </c>
    </row>
    <row r="120" spans="2:11" ht="27" thickBot="1" x14ac:dyDescent="0.2">
      <c r="B120" s="12" t="s">
        <v>87</v>
      </c>
      <c r="C120" s="13" t="s">
        <v>73</v>
      </c>
      <c r="D120" s="13" t="s">
        <v>74</v>
      </c>
      <c r="E120" s="13" t="s">
        <v>75</v>
      </c>
      <c r="F120" s="14"/>
      <c r="G120" s="15" t="s">
        <v>76</v>
      </c>
      <c r="H120" s="15" t="s">
        <v>77</v>
      </c>
      <c r="I120" s="15" t="s">
        <v>78</v>
      </c>
      <c r="J120" s="15" t="s">
        <v>79</v>
      </c>
      <c r="K120" s="15" t="s">
        <v>72</v>
      </c>
    </row>
    <row r="121" spans="2:11" x14ac:dyDescent="0.15">
      <c r="G121" s="23"/>
      <c r="H121" s="23"/>
      <c r="I121" s="23"/>
      <c r="J121" s="23"/>
      <c r="K121" s="23"/>
    </row>
    <row r="122" spans="2:11" x14ac:dyDescent="0.15">
      <c r="B122" s="68" t="s">
        <v>259</v>
      </c>
      <c r="C122" s="69">
        <f>'CF source'!D31</f>
        <v>-141161</v>
      </c>
      <c r="D122" s="69">
        <f>'CF source'!E31</f>
        <v>-158308</v>
      </c>
      <c r="E122" s="69">
        <f>'CF source'!F31</f>
        <v>-188890</v>
      </c>
      <c r="F122" s="68"/>
      <c r="G122" s="76">
        <f>E122*(1+G123)</f>
        <v>-209667.90000000002</v>
      </c>
      <c r="H122" s="76">
        <f>G122*(1+H123)</f>
        <v>-232731.36900000004</v>
      </c>
      <c r="I122" s="76">
        <f>H122*(1+I123)</f>
        <v>-258331.81959000006</v>
      </c>
      <c r="J122" s="76">
        <f>I122*(1+J123)</f>
        <v>-286748.3197449001</v>
      </c>
      <c r="K122" s="76">
        <f>J122*(1+K123)</f>
        <v>-318290.63491683913</v>
      </c>
    </row>
    <row r="123" spans="2:11" x14ac:dyDescent="0.15">
      <c r="B123" s="22" t="s">
        <v>26</v>
      </c>
      <c r="C123" s="113">
        <f>ABS(C122/C9)</f>
        <v>6.2284981333611017E-2</v>
      </c>
      <c r="D123" s="113">
        <f t="shared" ref="D123:E123" si="45">ABS(D122/D9)</f>
        <v>8.5278120291557791E-2</v>
      </c>
      <c r="E123" s="113">
        <f t="shared" si="45"/>
        <v>0.10484138639953731</v>
      </c>
      <c r="F123" s="92"/>
      <c r="G123" s="99">
        <f>CHOOSE($C$5,G124,G125,G126)</f>
        <v>0.11</v>
      </c>
      <c r="H123" s="99">
        <f t="shared" ref="H123:K123" si="46">CHOOSE($C$5,H124,H125,H126)</f>
        <v>0.11</v>
      </c>
      <c r="I123" s="99">
        <f t="shared" si="46"/>
        <v>0.11</v>
      </c>
      <c r="J123" s="99">
        <f t="shared" si="46"/>
        <v>0.11</v>
      </c>
      <c r="K123" s="99">
        <f t="shared" si="46"/>
        <v>0.11</v>
      </c>
    </row>
    <row r="124" spans="2:11" x14ac:dyDescent="0.15">
      <c r="B124" s="11" t="s">
        <v>15</v>
      </c>
      <c r="C124" s="20"/>
      <c r="D124" s="20"/>
      <c r="E124" s="20"/>
      <c r="G124" s="47">
        <v>0.11</v>
      </c>
      <c r="H124" s="47">
        <v>0.11</v>
      </c>
      <c r="I124" s="47">
        <v>0.11</v>
      </c>
      <c r="J124" s="47">
        <v>0.11</v>
      </c>
      <c r="K124" s="47">
        <v>0.11</v>
      </c>
    </row>
    <row r="125" spans="2:11" x14ac:dyDescent="0.15">
      <c r="B125" s="11" t="s">
        <v>16</v>
      </c>
      <c r="C125" s="20"/>
      <c r="D125" s="20"/>
      <c r="E125" s="20"/>
      <c r="G125" s="47">
        <v>9.5000000000000001E-2</v>
      </c>
      <c r="H125" s="47">
        <v>9.5000000000000001E-2</v>
      </c>
      <c r="I125" s="47">
        <v>9.5000000000000001E-2</v>
      </c>
      <c r="J125" s="47">
        <v>9.5000000000000001E-2</v>
      </c>
      <c r="K125" s="47">
        <v>9.5000000000000001E-2</v>
      </c>
    </row>
    <row r="126" spans="2:11" x14ac:dyDescent="0.15">
      <c r="B126" s="11" t="s">
        <v>18</v>
      </c>
      <c r="C126" s="20"/>
      <c r="D126" s="20"/>
      <c r="E126" s="20"/>
      <c r="G126" s="47">
        <v>7.4999999999999997E-2</v>
      </c>
      <c r="H126" s="47">
        <v>7.4999999999999997E-2</v>
      </c>
      <c r="I126" s="47">
        <v>7.4999999999999997E-2</v>
      </c>
      <c r="J126" s="47">
        <v>7.4999999999999997E-2</v>
      </c>
      <c r="K126" s="47">
        <v>7.4999999999999997E-2</v>
      </c>
    </row>
    <row r="127" spans="2:11" x14ac:dyDescent="0.15">
      <c r="G127" s="23"/>
      <c r="H127" s="23"/>
      <c r="I127" s="23"/>
      <c r="J127" s="23"/>
      <c r="K127" s="23"/>
    </row>
    <row r="128" spans="2:11" x14ac:dyDescent="0.15">
      <c r="B128" s="68" t="s">
        <v>248</v>
      </c>
      <c r="C128" s="69">
        <f>SUM('CF source'!D32:D39)</f>
        <v>-247848</v>
      </c>
      <c r="D128" s="69">
        <f>SUM('CF source'!E32:E39)</f>
        <v>104289</v>
      </c>
      <c r="E128" s="69">
        <f>SUM('CF source'!F32:F39)</f>
        <v>186029</v>
      </c>
      <c r="F128" s="68"/>
      <c r="G128" s="76">
        <f>E128+G129</f>
        <v>184029</v>
      </c>
      <c r="H128" s="76">
        <f>G128+H129</f>
        <v>182029</v>
      </c>
      <c r="I128" s="76">
        <f>H128+I129</f>
        <v>180029</v>
      </c>
      <c r="J128" s="76">
        <f>I128+J129</f>
        <v>178029</v>
      </c>
      <c r="K128" s="76">
        <f>J128+K129</f>
        <v>176029</v>
      </c>
    </row>
    <row r="129" spans="2:11" x14ac:dyDescent="0.15">
      <c r="B129" s="22" t="s">
        <v>268</v>
      </c>
      <c r="C129" s="95">
        <v>0</v>
      </c>
      <c r="D129" s="95">
        <v>0</v>
      </c>
      <c r="E129" s="95">
        <v>0</v>
      </c>
      <c r="F129" s="92"/>
      <c r="G129" s="115">
        <f>CHOOSE($C$5,G130,G131,G132)</f>
        <v>-2000</v>
      </c>
      <c r="H129" s="115">
        <f t="shared" ref="H129:K129" si="47">CHOOSE($C$5,H130,H131,H132)</f>
        <v>-2000</v>
      </c>
      <c r="I129" s="115">
        <f t="shared" si="47"/>
        <v>-2000</v>
      </c>
      <c r="J129" s="115">
        <f t="shared" si="47"/>
        <v>-2000</v>
      </c>
      <c r="K129" s="115">
        <f t="shared" si="47"/>
        <v>-2000</v>
      </c>
    </row>
    <row r="130" spans="2:11" x14ac:dyDescent="0.15">
      <c r="B130" s="11" t="s">
        <v>15</v>
      </c>
      <c r="C130" s="20"/>
      <c r="D130" s="20"/>
      <c r="E130" s="20"/>
      <c r="G130" s="114">
        <v>-2000</v>
      </c>
      <c r="H130" s="114">
        <v>-2000</v>
      </c>
      <c r="I130" s="114">
        <v>-2000</v>
      </c>
      <c r="J130" s="114">
        <v>-2000</v>
      </c>
      <c r="K130" s="114">
        <v>-2000</v>
      </c>
    </row>
    <row r="131" spans="2:11" x14ac:dyDescent="0.15">
      <c r="B131" s="11" t="s">
        <v>16</v>
      </c>
      <c r="C131" s="20"/>
      <c r="D131" s="20"/>
      <c r="E131" s="20"/>
      <c r="G131" s="114">
        <v>-5000</v>
      </c>
      <c r="H131" s="114">
        <v>-5000</v>
      </c>
      <c r="I131" s="114">
        <v>-5000</v>
      </c>
      <c r="J131" s="114">
        <v>-5000</v>
      </c>
      <c r="K131" s="114">
        <v>-5000</v>
      </c>
    </row>
    <row r="132" spans="2:11" x14ac:dyDescent="0.15">
      <c r="B132" s="11" t="s">
        <v>18</v>
      </c>
      <c r="C132" s="20"/>
      <c r="D132" s="20"/>
      <c r="E132" s="20"/>
      <c r="G132" s="114">
        <v>-8000</v>
      </c>
      <c r="H132" s="114">
        <v>-8000</v>
      </c>
      <c r="I132" s="114">
        <v>-8000</v>
      </c>
      <c r="J132" s="114">
        <v>-8000</v>
      </c>
      <c r="K132" s="114">
        <v>-8000</v>
      </c>
    </row>
    <row r="133" spans="2:11" x14ac:dyDescent="0.15">
      <c r="G133" s="23"/>
      <c r="H133" s="23"/>
      <c r="I133" s="23"/>
      <c r="J133" s="23"/>
      <c r="K133" s="23"/>
    </row>
    <row r="134" spans="2:11" x14ac:dyDescent="0.15">
      <c r="B134" s="68" t="s">
        <v>251</v>
      </c>
      <c r="C134" s="69">
        <f>SUM('CF source'!D42:D43)</f>
        <v>-295735</v>
      </c>
      <c r="D134" s="69">
        <f>SUM('CF source'!E42:E43)</f>
        <v>-381102</v>
      </c>
      <c r="E134" s="69">
        <f>SUM('CF source'!F42:F43)</f>
        <v>-477853</v>
      </c>
      <c r="F134" s="68"/>
      <c r="G134" s="76">
        <f>-G135*G55</f>
        <v>-522334.43327769608</v>
      </c>
      <c r="H134" s="76">
        <f t="shared" ref="H134:K134" si="48">-H135*H55</f>
        <v>-546626.81809277576</v>
      </c>
      <c r="I134" s="76">
        <f t="shared" si="48"/>
        <v>-571987.87520070514</v>
      </c>
      <c r="J134" s="76">
        <f t="shared" si="48"/>
        <v>-598459.36246029404</v>
      </c>
      <c r="K134" s="76">
        <f t="shared" si="48"/>
        <v>-626084.19156282675</v>
      </c>
    </row>
    <row r="135" spans="2:11" x14ac:dyDescent="0.15">
      <c r="B135" s="22" t="s">
        <v>264</v>
      </c>
      <c r="C135" s="113">
        <f>ABS(C134/C55)</f>
        <v>0.48962343026961697</v>
      </c>
      <c r="D135" s="113">
        <f t="shared" ref="D135:E135" si="49">ABS(D134/D55)</f>
        <v>0.8380214792727656</v>
      </c>
      <c r="E135" s="113">
        <f t="shared" si="49"/>
        <v>1.1993639909442753</v>
      </c>
      <c r="F135" s="92"/>
      <c r="G135" s="99">
        <f>CHOOSE($C$5,G136,G137,G138)</f>
        <v>0.95</v>
      </c>
      <c r="H135" s="99">
        <f t="shared" ref="H135:K135" si="50">CHOOSE($C$5,H136,H137,H138)</f>
        <v>0.95</v>
      </c>
      <c r="I135" s="99">
        <f t="shared" si="50"/>
        <v>0.95</v>
      </c>
      <c r="J135" s="99">
        <f t="shared" si="50"/>
        <v>0.95</v>
      </c>
      <c r="K135" s="99">
        <f t="shared" si="50"/>
        <v>0.95</v>
      </c>
    </row>
    <row r="136" spans="2:11" x14ac:dyDescent="0.15">
      <c r="B136" s="11" t="s">
        <v>15</v>
      </c>
      <c r="C136" s="20"/>
      <c r="D136" s="20"/>
      <c r="E136" s="20"/>
      <c r="G136" s="47">
        <v>0.95</v>
      </c>
      <c r="H136" s="47">
        <v>0.95</v>
      </c>
      <c r="I136" s="47">
        <v>0.95</v>
      </c>
      <c r="J136" s="47">
        <v>0.95</v>
      </c>
      <c r="K136" s="47">
        <v>0.95</v>
      </c>
    </row>
    <row r="137" spans="2:11" x14ac:dyDescent="0.15">
      <c r="B137" s="11" t="s">
        <v>16</v>
      </c>
      <c r="C137" s="20"/>
      <c r="D137" s="20"/>
      <c r="E137" s="20"/>
      <c r="G137" s="47">
        <v>1</v>
      </c>
      <c r="H137" s="47">
        <v>1</v>
      </c>
      <c r="I137" s="47">
        <v>1</v>
      </c>
      <c r="J137" s="47">
        <v>1</v>
      </c>
      <c r="K137" s="47">
        <v>1</v>
      </c>
    </row>
    <row r="138" spans="2:11" x14ac:dyDescent="0.15">
      <c r="B138" s="11" t="s">
        <v>18</v>
      </c>
      <c r="C138" s="20"/>
      <c r="D138" s="20"/>
      <c r="E138" s="20"/>
      <c r="G138" s="47">
        <v>1.1000000000000001</v>
      </c>
      <c r="H138" s="47">
        <v>1.1000000000000001</v>
      </c>
      <c r="I138" s="47">
        <v>1.1000000000000001</v>
      </c>
      <c r="J138" s="47">
        <v>1.1000000000000001</v>
      </c>
      <c r="K138" s="47">
        <v>1.1000000000000001</v>
      </c>
    </row>
    <row r="139" spans="2:11" x14ac:dyDescent="0.15">
      <c r="G139" s="23"/>
      <c r="H139" s="23"/>
      <c r="I139" s="23"/>
      <c r="J139" s="23"/>
      <c r="K139" s="23"/>
    </row>
    <row r="140" spans="2:11" x14ac:dyDescent="0.15">
      <c r="B140" s="68" t="s">
        <v>269</v>
      </c>
      <c r="C140" s="69">
        <f>'CF source'!D49</f>
        <v>-12114</v>
      </c>
      <c r="D140" s="69">
        <f>'CF source'!E49</f>
        <v>-13639</v>
      </c>
      <c r="E140" s="69">
        <f>'CF source'!F49</f>
        <v>-15344</v>
      </c>
      <c r="F140" s="68"/>
      <c r="G140" s="76">
        <f>G141</f>
        <v>-17000</v>
      </c>
      <c r="H140" s="76">
        <f t="shared" ref="H140:K140" si="51">H141</f>
        <v>-17000</v>
      </c>
      <c r="I140" s="76">
        <f t="shared" si="51"/>
        <v>-17000</v>
      </c>
      <c r="J140" s="76">
        <f t="shared" si="51"/>
        <v>-17000</v>
      </c>
      <c r="K140" s="76">
        <f t="shared" si="51"/>
        <v>-17000</v>
      </c>
    </row>
    <row r="141" spans="2:11" x14ac:dyDescent="0.15">
      <c r="B141" s="22" t="s">
        <v>270</v>
      </c>
      <c r="C141" s="95">
        <v>0</v>
      </c>
      <c r="D141" s="95">
        <v>0</v>
      </c>
      <c r="E141" s="95">
        <v>0</v>
      </c>
      <c r="F141" s="92"/>
      <c r="G141" s="115">
        <f>CHOOSE($C$5,G142,G143,G144)</f>
        <v>-17000</v>
      </c>
      <c r="H141" s="115">
        <f t="shared" ref="H141:K141" si="52">CHOOSE($C$5,H142,H143,H144)</f>
        <v>-17000</v>
      </c>
      <c r="I141" s="115">
        <f t="shared" si="52"/>
        <v>-17000</v>
      </c>
      <c r="J141" s="115">
        <f t="shared" si="52"/>
        <v>-17000</v>
      </c>
      <c r="K141" s="115">
        <f t="shared" si="52"/>
        <v>-17000</v>
      </c>
    </row>
    <row r="142" spans="2:11" x14ac:dyDescent="0.15">
      <c r="B142" s="11" t="s">
        <v>15</v>
      </c>
      <c r="C142" s="20"/>
      <c r="D142" s="20"/>
      <c r="E142" s="20"/>
      <c r="G142" s="114">
        <v>-17000</v>
      </c>
      <c r="H142" s="114">
        <v>-17000</v>
      </c>
      <c r="I142" s="114">
        <v>-17000</v>
      </c>
      <c r="J142" s="114">
        <v>-17000</v>
      </c>
      <c r="K142" s="114">
        <v>-17000</v>
      </c>
    </row>
    <row r="143" spans="2:11" x14ac:dyDescent="0.15">
      <c r="B143" s="11" t="s">
        <v>16</v>
      </c>
      <c r="C143" s="20"/>
      <c r="D143" s="20"/>
      <c r="E143" s="20"/>
      <c r="G143" s="114">
        <v>-16000</v>
      </c>
      <c r="H143" s="114">
        <v>-16000</v>
      </c>
      <c r="I143" s="114">
        <v>-16000</v>
      </c>
      <c r="J143" s="114">
        <v>-16000</v>
      </c>
      <c r="K143" s="114">
        <v>-16000</v>
      </c>
    </row>
    <row r="144" spans="2:11" x14ac:dyDescent="0.15">
      <c r="B144" s="11" t="s">
        <v>18</v>
      </c>
      <c r="C144" s="20"/>
      <c r="D144" s="20"/>
      <c r="E144" s="20"/>
      <c r="G144" s="114">
        <v>-15000</v>
      </c>
      <c r="H144" s="114">
        <v>-15000</v>
      </c>
      <c r="I144" s="114">
        <v>-15000</v>
      </c>
      <c r="J144" s="114">
        <v>-15000</v>
      </c>
      <c r="K144" s="114">
        <v>-15000</v>
      </c>
    </row>
    <row r="146" spans="2:11" ht="16" x14ac:dyDescent="0.2">
      <c r="B146" s="97" t="s">
        <v>395</v>
      </c>
      <c r="C146" s="70"/>
      <c r="D146" s="70"/>
      <c r="E146" s="70"/>
      <c r="F146" s="70"/>
      <c r="G146" s="70"/>
      <c r="H146" s="70"/>
      <c r="I146" s="70"/>
      <c r="J146" s="70"/>
      <c r="K146" s="70"/>
    </row>
    <row r="147" spans="2:11" x14ac:dyDescent="0.15">
      <c r="B147" s="68" t="s">
        <v>396</v>
      </c>
      <c r="C147" s="99">
        <f>CHOOSE($C$5,C148,C149,C150)</f>
        <v>1.4999999999999999E-2</v>
      </c>
    </row>
    <row r="148" spans="2:11" x14ac:dyDescent="0.15">
      <c r="B148" s="11" t="s">
        <v>15</v>
      </c>
      <c r="C148" s="226">
        <v>1.4999999999999999E-2</v>
      </c>
    </row>
    <row r="149" spans="2:11" x14ac:dyDescent="0.15">
      <c r="B149" s="11" t="s">
        <v>16</v>
      </c>
      <c r="C149" s="226">
        <v>0.01</v>
      </c>
    </row>
    <row r="150" spans="2:11" x14ac:dyDescent="0.15">
      <c r="B150" s="11" t="s">
        <v>18</v>
      </c>
      <c r="C150" s="226">
        <v>5.0000000000000001E-3</v>
      </c>
    </row>
  </sheetData>
  <mergeCells count="28">
    <mergeCell ref="M10:P10"/>
    <mergeCell ref="M18:P18"/>
    <mergeCell ref="N41:W41"/>
    <mergeCell ref="N42:W42"/>
    <mergeCell ref="N43:W43"/>
    <mergeCell ref="M28:P28"/>
    <mergeCell ref="M33:P33"/>
    <mergeCell ref="N57:W57"/>
    <mergeCell ref="N39:W39"/>
    <mergeCell ref="N45:W45"/>
    <mergeCell ref="N46:W46"/>
    <mergeCell ref="N47:W47"/>
    <mergeCell ref="N44:W44"/>
    <mergeCell ref="N52:W52"/>
    <mergeCell ref="N53:W53"/>
    <mergeCell ref="N54:W54"/>
    <mergeCell ref="N55:W55"/>
    <mergeCell ref="N56:W56"/>
    <mergeCell ref="M40:W40"/>
    <mergeCell ref="M48:W48"/>
    <mergeCell ref="N49:W49"/>
    <mergeCell ref="N50:W50"/>
    <mergeCell ref="N51:W51"/>
    <mergeCell ref="M58:W58"/>
    <mergeCell ref="N59:W59"/>
    <mergeCell ref="N61:W61"/>
    <mergeCell ref="N60:W60"/>
    <mergeCell ref="N62:W6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55ABD-C223-1A45-8F7E-7F2FF50FBA94}">
  <dimension ref="B1:M44"/>
  <sheetViews>
    <sheetView topLeftCell="A17" zoomScale="131" zoomScaleNormal="130" workbookViewId="0">
      <selection activeCell="B24" sqref="B24:K44"/>
    </sheetView>
  </sheetViews>
  <sheetFormatPr baseColWidth="10" defaultColWidth="9.1640625" defaultRowHeight="12" x14ac:dyDescent="0.15"/>
  <cols>
    <col min="1" max="1" width="2" style="11" customWidth="1"/>
    <col min="2" max="2" width="33.33203125" style="11" bestFit="1" customWidth="1"/>
    <col min="3" max="3" width="10.6640625" style="11" bestFit="1" customWidth="1"/>
    <col min="4" max="5" width="9.33203125" style="11" bestFit="1" customWidth="1"/>
    <col min="6" max="6" width="2" style="11" customWidth="1"/>
    <col min="7" max="7" width="10.6640625" style="11" bestFit="1" customWidth="1"/>
    <col min="8" max="10" width="9.33203125" style="11" bestFit="1" customWidth="1"/>
    <col min="11" max="11" width="10.33203125" style="11" bestFit="1" customWidth="1"/>
    <col min="12" max="12" width="2" style="11" customWidth="1"/>
    <col min="13" max="16384" width="9.1640625" style="11"/>
  </cols>
  <sheetData>
    <row r="1" spans="2:13" ht="16" x14ac:dyDescent="0.2">
      <c r="B1" s="10" t="s">
        <v>5</v>
      </c>
    </row>
    <row r="2" spans="2:13" x14ac:dyDescent="0.15">
      <c r="B2" s="11" t="s">
        <v>88</v>
      </c>
    </row>
    <row r="3" spans="2:13" ht="27" thickBot="1" x14ac:dyDescent="0.2">
      <c r="B3" s="12" t="s">
        <v>87</v>
      </c>
      <c r="C3" s="13" t="s">
        <v>73</v>
      </c>
      <c r="D3" s="13" t="s">
        <v>74</v>
      </c>
      <c r="E3" s="13" t="s">
        <v>75</v>
      </c>
      <c r="F3" s="14"/>
      <c r="G3" s="15" t="s">
        <v>76</v>
      </c>
      <c r="H3" s="15" t="s">
        <v>77</v>
      </c>
      <c r="I3" s="15" t="s">
        <v>78</v>
      </c>
      <c r="J3" s="15" t="s">
        <v>79</v>
      </c>
      <c r="K3" s="15" t="s">
        <v>72</v>
      </c>
      <c r="M3" s="25" t="s">
        <v>29</v>
      </c>
    </row>
    <row r="4" spans="2:13" x14ac:dyDescent="0.15">
      <c r="B4" s="68" t="s">
        <v>89</v>
      </c>
      <c r="C4" s="16">
        <f>SUMIF(Assumptions!$B:$B,'P&amp;L and BS'!$B4,Assumptions!C:C)</f>
        <v>2266373</v>
      </c>
      <c r="D4" s="16">
        <f>SUMIF(Assumptions!$B:$B,'P&amp;L and BS'!$B4,Assumptions!D:D)</f>
        <v>1856373</v>
      </c>
      <c r="E4" s="16">
        <f>SUMIF(Assumptions!$B:$B,'P&amp;L and BS'!$B4,Assumptions!E:E)</f>
        <v>1801674</v>
      </c>
      <c r="F4" s="16">
        <f>SUMIF(Assumptions!$B:$B,'P&amp;L and BS'!$B4,Assumptions!F:F)</f>
        <v>0</v>
      </c>
      <c r="G4" s="17">
        <f>SUMIF(Assumptions!$B:$B,'P&amp;L and BS'!$B4,Assumptions!G:G)</f>
        <v>1891757.7000000002</v>
      </c>
      <c r="H4" s="17">
        <f>SUMIF(Assumptions!$B:$B,'P&amp;L and BS'!$B4,Assumptions!H:H)</f>
        <v>1986345.5850000002</v>
      </c>
      <c r="I4" s="17">
        <f>SUMIF(Assumptions!$B:$B,'P&amp;L and BS'!$B4,Assumptions!I:I)</f>
        <v>2085662.8642500003</v>
      </c>
      <c r="J4" s="17">
        <f>SUMIF(Assumptions!$B:$B,'P&amp;L and BS'!$B4,Assumptions!J:J)</f>
        <v>2189946.0074625006</v>
      </c>
      <c r="K4" s="17">
        <f>SUMIF(Assumptions!$B:$B,'P&amp;L and BS'!$B4,Assumptions!K:K)</f>
        <v>2299443.307835626</v>
      </c>
    </row>
    <row r="5" spans="2:13" x14ac:dyDescent="0.15">
      <c r="B5" s="11" t="s">
        <v>140</v>
      </c>
      <c r="C5" s="16">
        <f>SUMIF(Assumptions!$B:$B,'P&amp;L and BS'!$B5,Assumptions!C:C)</f>
        <v>-934112</v>
      </c>
      <c r="D5" s="16">
        <f>SUMIF(Assumptions!$B:$B,'P&amp;L and BS'!$B5,Assumptions!D:D)</f>
        <v>-799543</v>
      </c>
      <c r="E5" s="16">
        <f>SUMIF(Assumptions!$B:$B,'P&amp;L and BS'!$B5,Assumptions!E:E)</f>
        <v>-820237</v>
      </c>
      <c r="F5" s="16">
        <f>SUMIF(Assumptions!$B:$B,'P&amp;L and BS'!$B5,Assumptions!F:F)</f>
        <v>0</v>
      </c>
      <c r="G5" s="17">
        <f>SUMIF(Assumptions!$B:$B,'P&amp;L and BS'!$B5,Assumptions!G:G)</f>
        <v>-652656.40650000004</v>
      </c>
      <c r="H5" s="17">
        <f>SUMIF(Assumptions!$B:$B,'P&amp;L and BS'!$B5,Assumptions!H:H)</f>
        <v>-685289.22682500002</v>
      </c>
      <c r="I5" s="17">
        <f>SUMIF(Assumptions!$B:$B,'P&amp;L and BS'!$B5,Assumptions!I:I)</f>
        <v>-719553.68816625001</v>
      </c>
      <c r="J5" s="17">
        <f>SUMIF(Assumptions!$B:$B,'P&amp;L and BS'!$B5,Assumptions!J:J)</f>
        <v>-755531.37257456267</v>
      </c>
      <c r="K5" s="17">
        <f>SUMIF(Assumptions!$B:$B,'P&amp;L and BS'!$B5,Assumptions!K:K)</f>
        <v>-793307.94120329095</v>
      </c>
    </row>
    <row r="6" spans="2:13" x14ac:dyDescent="0.15">
      <c r="B6" s="26" t="s">
        <v>30</v>
      </c>
      <c r="C6" s="27">
        <f>SUM(C4:C5)</f>
        <v>1332261</v>
      </c>
      <c r="D6" s="27">
        <f t="shared" ref="D6:K6" si="0">SUM(D4:D5)</f>
        <v>1056830</v>
      </c>
      <c r="E6" s="27">
        <f t="shared" si="0"/>
        <v>981437</v>
      </c>
      <c r="F6" s="27">
        <f t="shared" si="0"/>
        <v>0</v>
      </c>
      <c r="G6" s="41">
        <f t="shared" si="0"/>
        <v>1239101.2935000001</v>
      </c>
      <c r="H6" s="41">
        <f t="shared" si="0"/>
        <v>1301056.3581750002</v>
      </c>
      <c r="I6" s="41">
        <f t="shared" si="0"/>
        <v>1366109.1760837503</v>
      </c>
      <c r="J6" s="41">
        <f t="shared" si="0"/>
        <v>1434414.6348879379</v>
      </c>
      <c r="K6" s="41">
        <f t="shared" si="0"/>
        <v>1506135.3666323349</v>
      </c>
    </row>
    <row r="7" spans="2:13" ht="14" customHeight="1" x14ac:dyDescent="0.15">
      <c r="G7" s="23"/>
      <c r="H7" s="23"/>
      <c r="I7" s="23"/>
      <c r="J7" s="23"/>
      <c r="K7" s="23"/>
    </row>
    <row r="8" spans="2:13" ht="14" customHeight="1" x14ac:dyDescent="0.15">
      <c r="B8" s="11" t="s">
        <v>161</v>
      </c>
      <c r="C8" s="16">
        <f>SUMIF(Assumptions!$B:$B,'P&amp;L and BS'!$B8,Assumptions!C:C)</f>
        <v>-96566</v>
      </c>
      <c r="D8" s="16">
        <f>SUMIF(Assumptions!$B:$B,'P&amp;L and BS'!$B8,Assumptions!D:D)</f>
        <v>-91503</v>
      </c>
      <c r="E8" s="16">
        <f>SUMIF(Assumptions!$B:$B,'P&amp;L and BS'!$B8,Assumptions!E:E)</f>
        <v>-103603</v>
      </c>
      <c r="F8" s="16">
        <f>SUMIF(Assumptions!$B:$B,'P&amp;L and BS'!$B8,Assumptions!F:F)</f>
        <v>0</v>
      </c>
      <c r="G8" s="17">
        <f>SUMIF(Assumptions!$B:$B,'P&amp;L and BS'!$B8,Assumptions!G:G)</f>
        <v>-104046.6735</v>
      </c>
      <c r="H8" s="17">
        <f>SUMIF(Assumptions!$B:$B,'P&amp;L and BS'!$B8,Assumptions!H:H)</f>
        <v>-109249.00717500001</v>
      </c>
      <c r="I8" s="17">
        <f>SUMIF(Assumptions!$B:$B,'P&amp;L and BS'!$B8,Assumptions!I:I)</f>
        <v>-114711.45753375001</v>
      </c>
      <c r="J8" s="17">
        <f>SUMIF(Assumptions!$B:$B,'P&amp;L and BS'!$B8,Assumptions!J:J)</f>
        <v>-120447.03041043754</v>
      </c>
      <c r="K8" s="17">
        <f>SUMIF(Assumptions!$B:$B,'P&amp;L and BS'!$B8,Assumptions!K:K)</f>
        <v>-126469.38193095943</v>
      </c>
    </row>
    <row r="9" spans="2:13" x14ac:dyDescent="0.15">
      <c r="B9" s="26" t="s">
        <v>31</v>
      </c>
      <c r="C9" s="27">
        <f>C6+C8</f>
        <v>1235695</v>
      </c>
      <c r="D9" s="27">
        <f t="shared" ref="D9:K9" si="1">D6+D8</f>
        <v>965327</v>
      </c>
      <c r="E9" s="27">
        <f t="shared" si="1"/>
        <v>877834</v>
      </c>
      <c r="F9" s="27">
        <f t="shared" si="1"/>
        <v>0</v>
      </c>
      <c r="G9" s="41">
        <f t="shared" si="1"/>
        <v>1135054.6200000001</v>
      </c>
      <c r="H9" s="41">
        <f t="shared" si="1"/>
        <v>1191807.3510000003</v>
      </c>
      <c r="I9" s="41">
        <f t="shared" si="1"/>
        <v>1251397.7185500003</v>
      </c>
      <c r="J9" s="41">
        <f t="shared" si="1"/>
        <v>1313967.6044775003</v>
      </c>
      <c r="K9" s="41">
        <f t="shared" si="1"/>
        <v>1379665.9847013755</v>
      </c>
    </row>
    <row r="10" spans="2:13" x14ac:dyDescent="0.15">
      <c r="C10" s="16"/>
      <c r="D10" s="16"/>
      <c r="E10" s="16"/>
      <c r="F10" s="16"/>
      <c r="G10" s="17"/>
      <c r="H10" s="17"/>
      <c r="I10" s="17"/>
      <c r="J10" s="17"/>
      <c r="K10" s="17"/>
    </row>
    <row r="11" spans="2:13" ht="12" customHeight="1" x14ac:dyDescent="0.15">
      <c r="B11" s="11" t="s">
        <v>23</v>
      </c>
      <c r="C11" s="16">
        <f>SUMIF(Assumptions!$B:$B,'P&amp;L and BS'!$B11,Assumptions!C:C)</f>
        <v>-91618</v>
      </c>
      <c r="D11" s="16">
        <f>SUMIF(Assumptions!$B:$B,'P&amp;L and BS'!$B11,Assumptions!D:D)</f>
        <v>-97040</v>
      </c>
      <c r="E11" s="16">
        <f>SUMIF(Assumptions!$B:$B,'P&amp;L and BS'!$B11,Assumptions!E:E)</f>
        <v>-103209</v>
      </c>
      <c r="F11" s="16">
        <f>SUMIF(Assumptions!$B:$B,'P&amp;L and BS'!$B11,Assumptions!F:F)</f>
        <v>0</v>
      </c>
      <c r="G11" s="17">
        <f>SUMIF(Assumptions!$B:$B,'P&amp;L and BS'!$B11,Assumptions!G:G)</f>
        <v>-108786.35040000002</v>
      </c>
      <c r="H11" s="17">
        <f>SUMIF(Assumptions!$B:$B,'P&amp;L and BS'!$B11,Assumptions!H:H)</f>
        <v>-117489.25843200003</v>
      </c>
      <c r="I11" s="17">
        <f>SUMIF(Assumptions!$B:$B,'P&amp;L and BS'!$B11,Assumptions!I:I)</f>
        <v>-126888.39910656004</v>
      </c>
      <c r="J11" s="17">
        <f>SUMIF(Assumptions!$B:$B,'P&amp;L and BS'!$B11,Assumptions!J:J)</f>
        <v>-137039.47103508486</v>
      </c>
      <c r="K11" s="17">
        <f>SUMIF(Assumptions!$B:$B,'P&amp;L and BS'!$B11,Assumptions!K:K)</f>
        <v>-148002.62871789164</v>
      </c>
    </row>
    <row r="12" spans="2:13" ht="15" customHeight="1" x14ac:dyDescent="0.15">
      <c r="B12" s="26" t="s">
        <v>32</v>
      </c>
      <c r="C12" s="27">
        <f>C9+C11</f>
        <v>1144077</v>
      </c>
      <c r="D12" s="27">
        <f t="shared" ref="D12:K12" si="2">D9+D11</f>
        <v>868287</v>
      </c>
      <c r="E12" s="27">
        <f t="shared" si="2"/>
        <v>774625</v>
      </c>
      <c r="F12" s="27">
        <f t="shared" si="2"/>
        <v>0</v>
      </c>
      <c r="G12" s="41">
        <f t="shared" si="2"/>
        <v>1026268.2696000001</v>
      </c>
      <c r="H12" s="41">
        <f t="shared" si="2"/>
        <v>1074318.0925680003</v>
      </c>
      <c r="I12" s="41">
        <f t="shared" si="2"/>
        <v>1124509.3194434403</v>
      </c>
      <c r="J12" s="41">
        <f t="shared" si="2"/>
        <v>1176928.1334424154</v>
      </c>
      <c r="K12" s="41">
        <f t="shared" si="2"/>
        <v>1231663.3559834838</v>
      </c>
    </row>
    <row r="13" spans="2:13" x14ac:dyDescent="0.15">
      <c r="B13" s="28"/>
      <c r="C13" s="29"/>
      <c r="D13" s="29"/>
      <c r="E13" s="29"/>
      <c r="F13" s="29"/>
      <c r="G13" s="17"/>
      <c r="H13" s="17"/>
      <c r="I13" s="17"/>
      <c r="J13" s="17"/>
      <c r="K13" s="17"/>
    </row>
    <row r="14" spans="2:13" x14ac:dyDescent="0.15">
      <c r="B14" s="11" t="s">
        <v>134</v>
      </c>
      <c r="C14" s="16">
        <f>SUMIF(Assumptions!$B:$B,'P&amp;L and BS'!$B14,Assumptions!C:C)</f>
        <v>17767</v>
      </c>
      <c r="D14" s="16">
        <f>SUMIF(Assumptions!$B:$B,'P&amp;L and BS'!$B14,Assumptions!D:D)</f>
        <v>27966</v>
      </c>
      <c r="E14" s="16">
        <f>SUMIF(Assumptions!$B:$B,'P&amp;L and BS'!$B14,Assumptions!E:E)</f>
        <v>17925</v>
      </c>
      <c r="F14" s="16">
        <f>SUMIF(Assumptions!$B:$B,'P&amp;L and BS'!$B14,Assumptions!F:F)</f>
        <v>0</v>
      </c>
      <c r="G14" s="17">
        <f>SUMIF(Assumptions!$B:$B,'P&amp;L and BS'!$B14,Assumptions!G:G)</f>
        <v>41050.730784000007</v>
      </c>
      <c r="H14" s="17">
        <f>SUMIF(Assumptions!$B:$B,'P&amp;L and BS'!$B14,Assumptions!H:H)</f>
        <v>42972.72370272001</v>
      </c>
      <c r="I14" s="17">
        <f>SUMIF(Assumptions!$B:$B,'P&amp;L and BS'!$B14,Assumptions!I:I)</f>
        <v>44980.372777737612</v>
      </c>
      <c r="J14" s="17">
        <f>SUMIF(Assumptions!$B:$B,'P&amp;L and BS'!$B14,Assumptions!J:J)</f>
        <v>47077.12533769662</v>
      </c>
      <c r="K14" s="17">
        <f>SUMIF(Assumptions!$B:$B,'P&amp;L and BS'!$B14,Assumptions!K:K)</f>
        <v>49266.534239339351</v>
      </c>
    </row>
    <row r="15" spans="2:13" ht="12" customHeight="1" x14ac:dyDescent="0.15">
      <c r="B15" s="11" t="s">
        <v>135</v>
      </c>
      <c r="C15" s="16">
        <f>SUMIF(Assumptions!$B:$B,'P&amp;L and BS'!$B15,Assumptions!C:C)</f>
        <v>-8882</v>
      </c>
      <c r="D15" s="16">
        <f>SUMIF(Assumptions!$B:$B,'P&amp;L and BS'!$B15,Assumptions!D:D)</f>
        <v>-8186</v>
      </c>
      <c r="E15" s="16">
        <f>SUMIF(Assumptions!$B:$B,'P&amp;L and BS'!$B15,Assumptions!E:E)</f>
        <v>-10540</v>
      </c>
      <c r="F15" s="16">
        <f>SUMIF(Assumptions!$B:$B,'P&amp;L and BS'!$B15,Assumptions!F:F)</f>
        <v>0</v>
      </c>
      <c r="G15" s="17">
        <f>SUMIF(Assumptions!$B:$B,'P&amp;L and BS'!$B15,Assumptions!G:G)</f>
        <v>-9961.8479999999981</v>
      </c>
      <c r="H15" s="17">
        <f>SUMIF(Assumptions!$B:$B,'P&amp;L and BS'!$B15,Assumptions!H:H)</f>
        <v>-10758.795840000001</v>
      </c>
      <c r="I15" s="17">
        <f>SUMIF(Assumptions!$B:$B,'P&amp;L and BS'!$B15,Assumptions!I:I)</f>
        <v>-11619.4995072</v>
      </c>
      <c r="J15" s="17">
        <f>SUMIF(Assumptions!$B:$B,'P&amp;L and BS'!$B15,Assumptions!J:J)</f>
        <v>-12549.059467776002</v>
      </c>
      <c r="K15" s="17">
        <f>SUMIF(Assumptions!$B:$B,'P&amp;L and BS'!$B15,Assumptions!K:K)</f>
        <v>-13552.984225198083</v>
      </c>
    </row>
    <row r="16" spans="2:13" x14ac:dyDescent="0.15">
      <c r="B16" s="26" t="s">
        <v>33</v>
      </c>
      <c r="C16" s="27">
        <f>C12+SUM(C14:C15)</f>
        <v>1152962</v>
      </c>
      <c r="D16" s="27">
        <f t="shared" ref="D16:K16" si="3">D12+SUM(D14:D15)</f>
        <v>888067</v>
      </c>
      <c r="E16" s="27">
        <f t="shared" si="3"/>
        <v>782010</v>
      </c>
      <c r="F16" s="27">
        <f t="shared" si="3"/>
        <v>0</v>
      </c>
      <c r="G16" s="41">
        <f t="shared" si="3"/>
        <v>1057357.1523840001</v>
      </c>
      <c r="H16" s="41">
        <f t="shared" si="3"/>
        <v>1106532.0204307204</v>
      </c>
      <c r="I16" s="41">
        <f t="shared" si="3"/>
        <v>1157870.192713978</v>
      </c>
      <c r="J16" s="41">
        <f t="shared" si="3"/>
        <v>1211456.199312336</v>
      </c>
      <c r="K16" s="41">
        <f t="shared" si="3"/>
        <v>1267376.9059976251</v>
      </c>
    </row>
    <row r="17" spans="2:13" x14ac:dyDescent="0.15">
      <c r="C17" s="16"/>
      <c r="D17" s="16"/>
      <c r="E17" s="16"/>
      <c r="F17" s="16"/>
      <c r="G17" s="17"/>
      <c r="H17" s="17"/>
      <c r="I17" s="17"/>
      <c r="J17" s="17"/>
      <c r="K17" s="17"/>
    </row>
    <row r="18" spans="2:13" ht="11" customHeight="1" x14ac:dyDescent="0.15">
      <c r="B18" s="11" t="s">
        <v>34</v>
      </c>
      <c r="C18" s="21">
        <f>ABS(C19/C16)</f>
        <v>0.47612757402238753</v>
      </c>
      <c r="D18" s="21">
        <f t="shared" ref="D18:K18" si="4">ABS(D19/D16)</f>
        <v>0.48791701527024423</v>
      </c>
      <c r="E18" s="21">
        <f t="shared" si="4"/>
        <v>0.49051546655413614</v>
      </c>
      <c r="F18" s="21"/>
      <c r="G18" s="19">
        <f t="shared" si="4"/>
        <v>0.48</v>
      </c>
      <c r="H18" s="19">
        <f t="shared" si="4"/>
        <v>0.47999999999999987</v>
      </c>
      <c r="I18" s="19">
        <f t="shared" si="4"/>
        <v>0.48000000000000004</v>
      </c>
      <c r="J18" s="19">
        <f t="shared" si="4"/>
        <v>0.48</v>
      </c>
      <c r="K18" s="19">
        <f t="shared" si="4"/>
        <v>0.48</v>
      </c>
    </row>
    <row r="19" spans="2:13" ht="12" customHeight="1" x14ac:dyDescent="0.15">
      <c r="B19" s="11" t="s">
        <v>103</v>
      </c>
      <c r="C19" s="16">
        <f>SUMIF(Assumptions!$B:$B,'P&amp;L and BS'!$B19,Assumptions!C:C)</f>
        <v>-548957</v>
      </c>
      <c r="D19" s="16">
        <f>SUMIF(Assumptions!$B:$B,'P&amp;L and BS'!$B19,Assumptions!D:D)</f>
        <v>-433303</v>
      </c>
      <c r="E19" s="16">
        <f>SUMIF(Assumptions!$B:$B,'P&amp;L and BS'!$B19,Assumptions!E:E)</f>
        <v>-383588</v>
      </c>
      <c r="F19" s="16">
        <f>SUMIF(Assumptions!$B:$B,'P&amp;L and BS'!$B19,Assumptions!F:F)</f>
        <v>0</v>
      </c>
      <c r="G19" s="17">
        <f>SUMIF(Assumptions!$B:$B,'P&amp;L and BS'!$B19,Assumptions!G:G)</f>
        <v>-507531.43314432004</v>
      </c>
      <c r="H19" s="17">
        <f>SUMIF(Assumptions!$B:$B,'P&amp;L and BS'!$B19,Assumptions!H:H)</f>
        <v>-531135.36980674567</v>
      </c>
      <c r="I19" s="17">
        <f>SUMIF(Assumptions!$B:$B,'P&amp;L and BS'!$B19,Assumptions!I:I)</f>
        <v>-555777.69250270945</v>
      </c>
      <c r="J19" s="17">
        <f>SUMIF(Assumptions!$B:$B,'P&amp;L and BS'!$B19,Assumptions!J:J)</f>
        <v>-581498.97566992126</v>
      </c>
      <c r="K19" s="17">
        <f>SUMIF(Assumptions!$B:$B,'P&amp;L and BS'!$B19,Assumptions!K:K)</f>
        <v>-608340.91487886</v>
      </c>
    </row>
    <row r="20" spans="2:13" ht="12" customHeight="1" x14ac:dyDescent="0.15">
      <c r="C20" s="16"/>
      <c r="D20" s="16"/>
      <c r="E20" s="16"/>
      <c r="F20" s="16"/>
      <c r="G20" s="23"/>
      <c r="H20" s="23"/>
      <c r="I20" s="23"/>
      <c r="J20" s="23"/>
      <c r="K20" s="23"/>
    </row>
    <row r="21" spans="2:13" x14ac:dyDescent="0.15">
      <c r="B21" s="30" t="s">
        <v>35</v>
      </c>
      <c r="C21" s="31">
        <f>C16+C19</f>
        <v>604005</v>
      </c>
      <c r="D21" s="31">
        <f t="shared" ref="D21:K21" si="5">D16+D19</f>
        <v>454764</v>
      </c>
      <c r="E21" s="31">
        <f t="shared" si="5"/>
        <v>398422</v>
      </c>
      <c r="F21" s="31">
        <f t="shared" si="5"/>
        <v>0</v>
      </c>
      <c r="G21" s="31">
        <f t="shared" si="5"/>
        <v>549825.7192396801</v>
      </c>
      <c r="H21" s="31">
        <f t="shared" si="5"/>
        <v>575396.65062397474</v>
      </c>
      <c r="I21" s="31">
        <f t="shared" si="5"/>
        <v>602092.50021126855</v>
      </c>
      <c r="J21" s="31">
        <f t="shared" si="5"/>
        <v>629957.22364241478</v>
      </c>
      <c r="K21" s="31">
        <f t="shared" si="5"/>
        <v>659035.99111876509</v>
      </c>
    </row>
    <row r="22" spans="2:13" ht="11" customHeight="1" x14ac:dyDescent="0.15"/>
    <row r="24" spans="2:13" ht="16" x14ac:dyDescent="0.2">
      <c r="B24" s="10" t="s">
        <v>36</v>
      </c>
    </row>
    <row r="25" spans="2:13" ht="11" customHeight="1" x14ac:dyDescent="0.15">
      <c r="B25" s="11" t="s">
        <v>88</v>
      </c>
    </row>
    <row r="26" spans="2:13" ht="27" thickBot="1" x14ac:dyDescent="0.2">
      <c r="B26" s="12" t="s">
        <v>87</v>
      </c>
      <c r="C26" s="13" t="s">
        <v>73</v>
      </c>
      <c r="D26" s="13" t="s">
        <v>74</v>
      </c>
      <c r="E26" s="13" t="s">
        <v>75</v>
      </c>
      <c r="F26" s="14"/>
      <c r="G26" s="15" t="s">
        <v>76</v>
      </c>
      <c r="H26" s="15" t="s">
        <v>77</v>
      </c>
      <c r="I26" s="15" t="s">
        <v>78</v>
      </c>
      <c r="J26" s="15" t="s">
        <v>79</v>
      </c>
      <c r="K26" s="15" t="s">
        <v>72</v>
      </c>
      <c r="M26" s="25" t="s">
        <v>29</v>
      </c>
    </row>
    <row r="27" spans="2:13" x14ac:dyDescent="0.15">
      <c r="B27" s="11" t="s">
        <v>25</v>
      </c>
      <c r="C27" s="16">
        <f>SUMIF(Assumptions!$B:$B,'P&amp;L and BS'!$B27,Assumptions!C:C)</f>
        <v>1303266</v>
      </c>
      <c r="D27" s="16">
        <f>SUMIF(Assumptions!$B:$B,'P&amp;L and BS'!$B27,Assumptions!D:D)</f>
        <v>1384717</v>
      </c>
      <c r="E27" s="16">
        <f>SUMIF(Assumptions!$B:$B,'P&amp;L and BS'!$B27,Assumptions!E:E)</f>
        <v>1494318</v>
      </c>
      <c r="F27" s="16">
        <f>SUMIF(Assumptions!$B:$B,'P&amp;L and BS'!$B27,Assumptions!F:F)</f>
        <v>0</v>
      </c>
      <c r="G27" s="17">
        <f>SUMIF(Assumptions!$B:$B,'P&amp;L and BS'!$B27,Assumptions!G:G)</f>
        <v>1613863.4400000002</v>
      </c>
      <c r="H27" s="17">
        <f>SUMIF(Assumptions!$B:$B,'P&amp;L and BS'!$B27,Assumptions!H:H)</f>
        <v>1742972.5152000003</v>
      </c>
      <c r="I27" s="17">
        <f>SUMIF(Assumptions!$B:$B,'P&amp;L and BS'!$B27,Assumptions!I:I)</f>
        <v>1882410.3164160005</v>
      </c>
      <c r="J27" s="17">
        <f>SUMIF(Assumptions!$B:$B,'P&amp;L and BS'!$B27,Assumptions!J:J)</f>
        <v>2033003.1417292806</v>
      </c>
      <c r="K27" s="17">
        <f>SUMIF(Assumptions!$B:$B,'P&amp;L and BS'!$B27,Assumptions!K:K)</f>
        <v>2195643.393067623</v>
      </c>
    </row>
    <row r="28" spans="2:13" x14ac:dyDescent="0.15">
      <c r="B28" s="11" t="s">
        <v>188</v>
      </c>
      <c r="C28" s="16">
        <f>SUMIF(Assumptions!$B:$B,'P&amp;L and BS'!$B28,Assumptions!C:C)</f>
        <v>299409</v>
      </c>
      <c r="D28" s="16">
        <f>SUMIF(Assumptions!$B:$B,'P&amp;L and BS'!$B28,Assumptions!D:D)</f>
        <v>313223</v>
      </c>
      <c r="E28" s="16">
        <f>SUMIF(Assumptions!$B:$B,'P&amp;L and BS'!$B28,Assumptions!E:E)</f>
        <v>317072</v>
      </c>
      <c r="F28" s="16">
        <f>SUMIF(Assumptions!$B:$B,'P&amp;L and BS'!$B28,Assumptions!F:F)</f>
        <v>0</v>
      </c>
      <c r="G28" s="17">
        <f>SUMIF(Assumptions!$B:$B,'P&amp;L and BS'!$B28,Assumptions!G:G)</f>
        <v>329754.88</v>
      </c>
      <c r="H28" s="17">
        <f>SUMIF(Assumptions!$B:$B,'P&amp;L and BS'!$B28,Assumptions!H:H)</f>
        <v>342945.07520000002</v>
      </c>
      <c r="I28" s="17">
        <f>SUMIF(Assumptions!$B:$B,'P&amp;L and BS'!$B28,Assumptions!I:I)</f>
        <v>356662.87820800004</v>
      </c>
      <c r="J28" s="17">
        <f>SUMIF(Assumptions!$B:$B,'P&amp;L and BS'!$B28,Assumptions!J:J)</f>
        <v>370929.39333632006</v>
      </c>
      <c r="K28" s="17">
        <f>SUMIF(Assumptions!$B:$B,'P&amp;L and BS'!$B28,Assumptions!K:K)</f>
        <v>385766.5690697729</v>
      </c>
    </row>
    <row r="29" spans="2:13" x14ac:dyDescent="0.15">
      <c r="B29" s="11" t="s">
        <v>112</v>
      </c>
      <c r="C29" s="16">
        <f>SUMIF(Assumptions!$B:$B,'P&amp;L and BS'!$B29,Assumptions!C:C)</f>
        <v>100528</v>
      </c>
      <c r="D29" s="16">
        <f>SUMIF(Assumptions!$B:$B,'P&amp;L and BS'!$B29,Assumptions!D:D)</f>
        <v>85951</v>
      </c>
      <c r="E29" s="16">
        <f>SUMIF(Assumptions!$B:$B,'P&amp;L and BS'!$B29,Assumptions!E:E)</f>
        <v>83728</v>
      </c>
      <c r="F29" s="16">
        <f>SUMIF(Assumptions!$B:$B,'P&amp;L and BS'!$B29,Assumptions!F:F)</f>
        <v>0</v>
      </c>
      <c r="G29" s="17">
        <f>SUMIF(Assumptions!$B:$B,'P&amp;L and BS'!$B29,Assumptions!G:G)</f>
        <v>44702.493595890417</v>
      </c>
      <c r="H29" s="17">
        <f>SUMIF(Assumptions!$B:$B,'P&amp;L and BS'!$B29,Assumptions!H:H)</f>
        <v>46937.618275684938</v>
      </c>
      <c r="I29" s="17">
        <f>SUMIF(Assumptions!$B:$B,'P&amp;L and BS'!$B29,Assumptions!I:I)</f>
        <v>49284.499189469178</v>
      </c>
      <c r="J29" s="17">
        <f>SUMIF(Assumptions!$B:$B,'P&amp;L and BS'!$B29,Assumptions!J:J)</f>
        <v>51748.724148942652</v>
      </c>
      <c r="K29" s="17">
        <f>SUMIF(Assumptions!$B:$B,'P&amp;L and BS'!$B29,Assumptions!K:K)</f>
        <v>54336.160356389795</v>
      </c>
    </row>
    <row r="30" spans="2:13" x14ac:dyDescent="0.15">
      <c r="B30" s="11" t="s">
        <v>142</v>
      </c>
      <c r="C30" s="16">
        <f>SUMIF(Assumptions!$B:$B,'P&amp;L and BS'!$B30,Assumptions!C:C)</f>
        <v>164442</v>
      </c>
      <c r="D30" s="16">
        <f>SUMIF(Assumptions!$B:$B,'P&amp;L and BS'!$B30,Assumptions!D:D)</f>
        <v>163919</v>
      </c>
      <c r="E30" s="16">
        <f>SUMIF(Assumptions!$B:$B,'P&amp;L and BS'!$B30,Assumptions!E:E)</f>
        <v>167884</v>
      </c>
      <c r="F30" s="16">
        <f>SUMIF(Assumptions!$B:$B,'P&amp;L and BS'!$B30,Assumptions!F:F)</f>
        <v>0</v>
      </c>
      <c r="G30" s="17">
        <f>SUMIF(Assumptions!$B:$B,'P&amp;L and BS'!$B30,Assumptions!G:G)</f>
        <v>181401.42328767126</v>
      </c>
      <c r="H30" s="17">
        <f>SUMIF(Assumptions!$B:$B,'P&amp;L and BS'!$B30,Assumptions!H:H)</f>
        <v>190471.49445205482</v>
      </c>
      <c r="I30" s="17">
        <f>SUMIF(Assumptions!$B:$B,'P&amp;L and BS'!$B30,Assumptions!I:I)</f>
        <v>199995.06917465758</v>
      </c>
      <c r="J30" s="17">
        <f>SUMIF(Assumptions!$B:$B,'P&amp;L and BS'!$B30,Assumptions!J:J)</f>
        <v>209994.82263339049</v>
      </c>
      <c r="K30" s="17">
        <f>SUMIF(Assumptions!$B:$B,'P&amp;L and BS'!$B30,Assumptions!K:K)</f>
        <v>220494.56376506004</v>
      </c>
    </row>
    <row r="31" spans="2:13" x14ac:dyDescent="0.15">
      <c r="B31" s="11" t="s">
        <v>27</v>
      </c>
      <c r="C31" s="16">
        <f>SUMIF(Assumptions!$B:$B,'P&amp;L and BS'!$B31,Assumptions!C:C)</f>
        <v>399232</v>
      </c>
      <c r="D31" s="16">
        <f>SUMIF(Assumptions!$B:$B,'P&amp;L and BS'!$B31,Assumptions!D:D)</f>
        <v>331157</v>
      </c>
      <c r="E31" s="16">
        <f>SUMIF(Assumptions!$B:$B,'P&amp;L and BS'!$B31,Assumptions!E:E)</f>
        <v>143986</v>
      </c>
      <c r="F31" s="16">
        <f>SUMIF(Assumptions!$B:$B,'P&amp;L and BS'!$B31,Assumptions!F:F)</f>
        <v>0</v>
      </c>
      <c r="G31" s="17">
        <f>SUMIF(Assumptions!$B:$B,'P&amp;L and BS'!$B31,Assumptions!G:G)</f>
        <v>189175.77000000002</v>
      </c>
      <c r="H31" s="17">
        <f>SUMIF(Assumptions!$B:$B,'P&amp;L and BS'!$B31,Assumptions!H:H)</f>
        <v>198634.55850000004</v>
      </c>
      <c r="I31" s="17">
        <f>SUMIF(Assumptions!$B:$B,'P&amp;L and BS'!$B31,Assumptions!I:I)</f>
        <v>208566.28642500006</v>
      </c>
      <c r="J31" s="17">
        <f>SUMIF(Assumptions!$B:$B,'P&amp;L and BS'!$B31,Assumptions!J:J)</f>
        <v>218994.60074625007</v>
      </c>
      <c r="K31" s="17">
        <f>SUMIF(Assumptions!$B:$B,'P&amp;L and BS'!$B31,Assumptions!K:K)</f>
        <v>229944.33078356262</v>
      </c>
    </row>
    <row r="32" spans="2:13" x14ac:dyDescent="0.15">
      <c r="B32" s="11" t="s">
        <v>38</v>
      </c>
      <c r="C32" s="16">
        <f>SUM('BS source'!D19)</f>
        <v>226047</v>
      </c>
      <c r="D32" s="16">
        <f>SUM('BS source'!E19)</f>
        <v>198973</v>
      </c>
      <c r="E32" s="16">
        <f>SUM('BS source'!F19)</f>
        <v>216642</v>
      </c>
      <c r="G32" s="17">
        <f>'Cash Flow'!G28</f>
        <v>885375.22632137255</v>
      </c>
      <c r="H32" s="17">
        <f>'Cash Flow'!H28</f>
        <v>1526400.8134920707</v>
      </c>
      <c r="I32" s="17">
        <f>'Cash Flow'!I28</f>
        <v>2177273.7164974948</v>
      </c>
      <c r="J32" s="17">
        <f>'Cash Flow'!J28</f>
        <v>2837211.1835832763</v>
      </c>
      <c r="K32" s="17">
        <f>'Cash Flow'!K28</f>
        <v>3505235.2351925783</v>
      </c>
      <c r="M32" s="11" t="s">
        <v>398</v>
      </c>
    </row>
    <row r="33" spans="2:13" x14ac:dyDescent="0.15">
      <c r="G33" s="17"/>
      <c r="H33" s="17"/>
      <c r="I33" s="17"/>
      <c r="J33" s="17"/>
      <c r="K33" s="17"/>
    </row>
    <row r="34" spans="2:13" ht="13" thickBot="1" x14ac:dyDescent="0.2">
      <c r="B34" s="32" t="s">
        <v>39</v>
      </c>
      <c r="C34" s="33">
        <f t="shared" ref="C34:K34" si="6">SUM(C27:C32)</f>
        <v>2492924</v>
      </c>
      <c r="D34" s="33">
        <f t="shared" si="6"/>
        <v>2477940</v>
      </c>
      <c r="E34" s="33">
        <f t="shared" si="6"/>
        <v>2423630</v>
      </c>
      <c r="F34" s="33">
        <f t="shared" si="6"/>
        <v>0</v>
      </c>
      <c r="G34" s="33">
        <f t="shared" si="6"/>
        <v>3244273.2332049347</v>
      </c>
      <c r="H34" s="33">
        <f t="shared" si="6"/>
        <v>4048362.0751198111</v>
      </c>
      <c r="I34" s="33">
        <f t="shared" si="6"/>
        <v>4874192.7659106217</v>
      </c>
      <c r="J34" s="33">
        <f t="shared" si="6"/>
        <v>5721881.8661774602</v>
      </c>
      <c r="K34" s="33">
        <f t="shared" si="6"/>
        <v>6591420.252234987</v>
      </c>
    </row>
    <row r="35" spans="2:13" x14ac:dyDescent="0.15">
      <c r="C35" s="16"/>
      <c r="D35" s="16"/>
      <c r="E35" s="16"/>
      <c r="F35" s="16"/>
      <c r="G35" s="17"/>
      <c r="H35" s="17"/>
      <c r="I35" s="17"/>
      <c r="J35" s="17"/>
      <c r="K35" s="17"/>
    </row>
    <row r="36" spans="2:13" x14ac:dyDescent="0.15">
      <c r="B36" s="11" t="s">
        <v>145</v>
      </c>
      <c r="C36" s="16">
        <f>SUMIF(Assumptions!$B:$B,'P&amp;L and BS'!$B36,Assumptions!C:C)</f>
        <v>135390</v>
      </c>
      <c r="D36" s="16">
        <f>SUMIF(Assumptions!$B:$B,'P&amp;L and BS'!$B36,Assumptions!D:D)</f>
        <v>151553</v>
      </c>
      <c r="E36" s="16">
        <f>SUMIF(Assumptions!$B:$B,'P&amp;L and BS'!$B36,Assumptions!E:E)</f>
        <v>157467</v>
      </c>
      <c r="F36" s="16">
        <f>SUMIF(Assumptions!$B:$B,'P&amp;L and BS'!$B36,Assumptions!F:F)</f>
        <v>0</v>
      </c>
      <c r="G36" s="17">
        <f>SUMIF(Assumptions!$B:$B,'P&amp;L and BS'!$B36,Assumptions!G:G)</f>
        <v>125166.98206849316</v>
      </c>
      <c r="H36" s="17">
        <f>SUMIF(Assumptions!$B:$B,'P&amp;L and BS'!$B36,Assumptions!H:H)</f>
        <v>131425.33117191782</v>
      </c>
      <c r="I36" s="17">
        <f>SUMIF(Assumptions!$B:$B,'P&amp;L and BS'!$B36,Assumptions!I:I)</f>
        <v>137996.59773051369</v>
      </c>
      <c r="J36" s="17">
        <f>SUMIF(Assumptions!$B:$B,'P&amp;L and BS'!$B36,Assumptions!J:J)</f>
        <v>144896.42761703944</v>
      </c>
      <c r="K36" s="17">
        <f>SUMIF(Assumptions!$B:$B,'P&amp;L and BS'!$B36,Assumptions!K:K)</f>
        <v>152141.24899789141</v>
      </c>
    </row>
    <row r="37" spans="2:13" x14ac:dyDescent="0.15">
      <c r="B37" s="11" t="s">
        <v>124</v>
      </c>
      <c r="C37" s="16">
        <f>SUMIF(Assumptions!$B:$B,'P&amp;L and BS'!$B37,Assumptions!C:C)</f>
        <v>393144</v>
      </c>
      <c r="D37" s="16">
        <f>SUMIF(Assumptions!$B:$B,'P&amp;L and BS'!$B37,Assumptions!D:D)</f>
        <v>290147</v>
      </c>
      <c r="E37" s="16">
        <f>SUMIF(Assumptions!$B:$B,'P&amp;L and BS'!$B37,Assumptions!E:E)</f>
        <v>319290</v>
      </c>
      <c r="F37" s="16">
        <f>SUMIF(Assumptions!$B:$B,'P&amp;L and BS'!$B37,Assumptions!F:F)</f>
        <v>0</v>
      </c>
      <c r="G37" s="17">
        <f>SUMIF(Assumptions!$B:$B,'P&amp;L and BS'!$B37,Assumptions!G:G)</f>
        <v>344833.2</v>
      </c>
      <c r="H37" s="17">
        <f>SUMIF(Assumptions!$B:$B,'P&amp;L and BS'!$B37,Assumptions!H:H)</f>
        <v>372419.85600000003</v>
      </c>
      <c r="I37" s="17">
        <f>SUMIF(Assumptions!$B:$B,'P&amp;L and BS'!$B37,Assumptions!I:I)</f>
        <v>402213.44448000006</v>
      </c>
      <c r="J37" s="17">
        <f>SUMIF(Assumptions!$B:$B,'P&amp;L and BS'!$B37,Assumptions!J:J)</f>
        <v>434390.52003840008</v>
      </c>
      <c r="K37" s="17">
        <f>SUMIF(Assumptions!$B:$B,'P&amp;L and BS'!$B37,Assumptions!K:K)</f>
        <v>469141.76164147211</v>
      </c>
    </row>
    <row r="38" spans="2:13" x14ac:dyDescent="0.15">
      <c r="B38" s="11" t="s">
        <v>196</v>
      </c>
      <c r="C38" s="16">
        <f>SUMIF(Assumptions!$B:$B,'P&amp;L and BS'!$B38,Assumptions!C:C)</f>
        <v>121232</v>
      </c>
      <c r="D38" s="16">
        <f>SUMIF(Assumptions!$B:$B,'P&amp;L and BS'!$B38,Assumptions!D:D)</f>
        <v>96646</v>
      </c>
      <c r="E38" s="16">
        <f>SUMIF(Assumptions!$B:$B,'P&amp;L and BS'!$B38,Assumptions!E:E)</f>
        <v>84239</v>
      </c>
      <c r="F38" s="16">
        <f>SUMIF(Assumptions!$B:$B,'P&amp;L and BS'!$B38,Assumptions!F:F)</f>
        <v>0</v>
      </c>
      <c r="G38" s="17">
        <f>SUMIF(Assumptions!$B:$B,'P&amp;L and BS'!$B38,Assumptions!G:G)</f>
        <v>74130.320000000007</v>
      </c>
      <c r="H38" s="17">
        <f>SUMIF(Assumptions!$B:$B,'P&amp;L and BS'!$B38,Assumptions!H:H)</f>
        <v>65234.681600000004</v>
      </c>
      <c r="I38" s="17">
        <f>SUMIF(Assumptions!$B:$B,'P&amp;L and BS'!$B38,Assumptions!I:I)</f>
        <v>57406.519808000005</v>
      </c>
      <c r="J38" s="17">
        <f>SUMIF(Assumptions!$B:$B,'P&amp;L and BS'!$B38,Assumptions!J:J)</f>
        <v>50517.737431040005</v>
      </c>
      <c r="K38" s="17">
        <f>SUMIF(Assumptions!$B:$B,'P&amp;L and BS'!$B38,Assumptions!K:K)</f>
        <v>44455.608939315207</v>
      </c>
    </row>
    <row r="39" spans="2:13" x14ac:dyDescent="0.15">
      <c r="B39" s="11" t="s">
        <v>28</v>
      </c>
      <c r="C39" s="16">
        <f>SUMIF(Assumptions!$B:$B,'P&amp;L and BS'!$B39,Assumptions!C:C)</f>
        <v>177011</v>
      </c>
      <c r="D39" s="16">
        <f>SUMIF(Assumptions!$B:$B,'P&amp;L and BS'!$B39,Assumptions!D:D)</f>
        <v>202502</v>
      </c>
      <c r="E39" s="16">
        <f>SUMIF(Assumptions!$B:$B,'P&amp;L and BS'!$B39,Assumptions!E:E)</f>
        <v>211279</v>
      </c>
      <c r="F39" s="16">
        <f>SUMIF(Assumptions!$B:$B,'P&amp;L and BS'!$B39,Assumptions!F:F)</f>
        <v>0</v>
      </c>
      <c r="G39" s="17">
        <f>SUMIF(Assumptions!$B:$B,'P&amp;L and BS'!$B39,Assumptions!G:G)</f>
        <v>170258.193</v>
      </c>
      <c r="H39" s="17">
        <f>SUMIF(Assumptions!$B:$B,'P&amp;L and BS'!$B39,Assumptions!H:H)</f>
        <v>178771.10265000002</v>
      </c>
      <c r="I39" s="17">
        <f>SUMIF(Assumptions!$B:$B,'P&amp;L and BS'!$B39,Assumptions!I:I)</f>
        <v>187709.65778250003</v>
      </c>
      <c r="J39" s="17">
        <f>SUMIF(Assumptions!$B:$B,'P&amp;L and BS'!$B39,Assumptions!J:J)</f>
        <v>197095.14067162503</v>
      </c>
      <c r="K39" s="17">
        <f>SUMIF(Assumptions!$B:$B,'P&amp;L and BS'!$B39,Assumptions!K:K)</f>
        <v>206949.89770520633</v>
      </c>
    </row>
    <row r="40" spans="2:13" x14ac:dyDescent="0.15">
      <c r="B40" s="11" t="s">
        <v>40</v>
      </c>
      <c r="C40" s="16">
        <f>'BS source'!J12</f>
        <v>1666147</v>
      </c>
      <c r="D40" s="16">
        <f>'BS source'!K12</f>
        <v>1737092</v>
      </c>
      <c r="E40" s="16">
        <f>'BS source'!L12</f>
        <v>1651355</v>
      </c>
      <c r="F40" s="16"/>
      <c r="G40" s="17">
        <f>G34-SUM(G36:G39)</f>
        <v>2529884.5381364417</v>
      </c>
      <c r="H40" s="17">
        <f t="shared" ref="H40:K40" si="7">H34-SUM(H36:H39)</f>
        <v>3300511.1036978932</v>
      </c>
      <c r="I40" s="17">
        <f t="shared" si="7"/>
        <v>4088866.5461096079</v>
      </c>
      <c r="J40" s="17">
        <f t="shared" si="7"/>
        <v>4894982.040419356</v>
      </c>
      <c r="K40" s="17">
        <f t="shared" si="7"/>
        <v>5718731.7349511022</v>
      </c>
      <c r="M40" s="11" t="s">
        <v>399</v>
      </c>
    </row>
    <row r="41" spans="2:13" x14ac:dyDescent="0.15">
      <c r="C41" s="16"/>
      <c r="D41" s="16"/>
      <c r="E41" s="16"/>
      <c r="F41" s="16"/>
      <c r="G41" s="17"/>
      <c r="H41" s="17"/>
      <c r="I41" s="17"/>
      <c r="J41" s="17"/>
      <c r="K41" s="17"/>
    </row>
    <row r="42" spans="2:13" ht="13" thickBot="1" x14ac:dyDescent="0.2">
      <c r="B42" s="32" t="s">
        <v>41</v>
      </c>
      <c r="C42" s="33">
        <f>SUM(C36:C40)</f>
        <v>2492924</v>
      </c>
      <c r="D42" s="33">
        <f>SUM(D36:D40)</f>
        <v>2477940</v>
      </c>
      <c r="E42" s="33">
        <f>SUM(E36:E40)</f>
        <v>2423630</v>
      </c>
      <c r="F42" s="16"/>
      <c r="G42" s="147">
        <f>SUM(G36:G41)</f>
        <v>3244273.2332049347</v>
      </c>
      <c r="H42" s="147">
        <f>SUM(H36:H41)</f>
        <v>4048362.0751198111</v>
      </c>
      <c r="I42" s="147">
        <f t="shared" ref="I42:K42" si="8">SUM(I36:I41)</f>
        <v>4874192.7659106217</v>
      </c>
      <c r="J42" s="147">
        <f t="shared" si="8"/>
        <v>5721881.8661774602</v>
      </c>
      <c r="K42" s="147">
        <f t="shared" si="8"/>
        <v>6591420.252234987</v>
      </c>
    </row>
    <row r="43" spans="2:13" x14ac:dyDescent="0.15">
      <c r="G43" s="16"/>
      <c r="H43" s="16"/>
      <c r="I43" s="16"/>
      <c r="J43" s="16"/>
      <c r="K43" s="16"/>
    </row>
    <row r="44" spans="2:13" x14ac:dyDescent="0.15">
      <c r="B44" s="11" t="s">
        <v>42</v>
      </c>
      <c r="C44" s="11">
        <f t="shared" ref="C44:K44" si="9">C34-C42</f>
        <v>0</v>
      </c>
      <c r="D44" s="11">
        <f t="shared" si="9"/>
        <v>0</v>
      </c>
      <c r="E44" s="11">
        <f t="shared" si="9"/>
        <v>0</v>
      </c>
      <c r="F44" s="11">
        <f t="shared" si="9"/>
        <v>0</v>
      </c>
      <c r="G44" s="11">
        <f t="shared" si="9"/>
        <v>0</v>
      </c>
      <c r="H44" s="11">
        <f t="shared" si="9"/>
        <v>0</v>
      </c>
      <c r="I44" s="11">
        <f t="shared" si="9"/>
        <v>0</v>
      </c>
      <c r="J44" s="11">
        <f t="shared" si="9"/>
        <v>0</v>
      </c>
      <c r="K44" s="11">
        <f t="shared" si="9"/>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EAB93-D0BE-E84C-890E-889D3D7ABAF7}">
  <dimension ref="B1:T104"/>
  <sheetViews>
    <sheetView topLeftCell="A16" zoomScale="115" zoomScaleNormal="130" workbookViewId="0">
      <selection activeCell="D47" sqref="D47"/>
    </sheetView>
  </sheetViews>
  <sheetFormatPr baseColWidth="10" defaultColWidth="9.1640625" defaultRowHeight="12" x14ac:dyDescent="0.15"/>
  <cols>
    <col min="1" max="1" width="2" style="35" customWidth="1"/>
    <col min="2" max="2" width="36.5" style="35" bestFit="1" customWidth="1"/>
    <col min="3" max="3" width="9.1640625" style="35" customWidth="1"/>
    <col min="4" max="5" width="10.33203125" style="35" bestFit="1" customWidth="1"/>
    <col min="6" max="6" width="2" style="35" customWidth="1"/>
    <col min="7" max="10" width="10.33203125" style="35" bestFit="1" customWidth="1"/>
    <col min="11" max="11" width="10.83203125" style="35" bestFit="1" customWidth="1"/>
    <col min="12" max="12" width="2" style="35" customWidth="1"/>
    <col min="13" max="15" width="9.1640625" style="35"/>
    <col min="16" max="16" width="12.83203125" style="35" bestFit="1" customWidth="1"/>
    <col min="17" max="16384" width="9.1640625" style="35"/>
  </cols>
  <sheetData>
    <row r="1" spans="2:20" ht="16" x14ac:dyDescent="0.2">
      <c r="B1" s="34" t="s">
        <v>6</v>
      </c>
      <c r="C1" s="34"/>
    </row>
    <row r="2" spans="2:20" x14ac:dyDescent="0.15">
      <c r="B2" s="35" t="s">
        <v>88</v>
      </c>
    </row>
    <row r="3" spans="2:20" ht="27" thickBot="1" x14ac:dyDescent="0.2">
      <c r="B3" s="12" t="s">
        <v>87</v>
      </c>
      <c r="C3" s="12"/>
      <c r="D3" s="13" t="s">
        <v>74</v>
      </c>
      <c r="E3" s="13" t="s">
        <v>75</v>
      </c>
      <c r="F3" s="14"/>
      <c r="G3" s="15" t="s">
        <v>76</v>
      </c>
      <c r="H3" s="15" t="s">
        <v>77</v>
      </c>
      <c r="I3" s="15" t="s">
        <v>78</v>
      </c>
      <c r="J3" s="15" t="s">
        <v>79</v>
      </c>
      <c r="K3" s="15" t="s">
        <v>72</v>
      </c>
      <c r="L3" s="11"/>
      <c r="M3" s="25" t="s">
        <v>29</v>
      </c>
    </row>
    <row r="4" spans="2:20" x14ac:dyDescent="0.15">
      <c r="B4" s="35" t="s">
        <v>67</v>
      </c>
      <c r="D4" s="35">
        <f>'P&amp;L and BS'!D21</f>
        <v>454764</v>
      </c>
      <c r="E4" s="35">
        <f>'P&amp;L and BS'!E21</f>
        <v>398422</v>
      </c>
      <c r="G4" s="148">
        <f>'P&amp;L and BS'!G21</f>
        <v>549825.7192396801</v>
      </c>
      <c r="H4" s="148">
        <f>'P&amp;L and BS'!H21</f>
        <v>575396.65062397474</v>
      </c>
      <c r="I4" s="148">
        <f>'P&amp;L and BS'!I21</f>
        <v>602092.50021126855</v>
      </c>
      <c r="J4" s="148">
        <f>'P&amp;L and BS'!J21</f>
        <v>629957.22364241478</v>
      </c>
      <c r="K4" s="148">
        <f>'P&amp;L and BS'!K21</f>
        <v>659035.99111876509</v>
      </c>
    </row>
    <row r="5" spans="2:20" x14ac:dyDescent="0.15">
      <c r="B5" s="35" t="s">
        <v>242</v>
      </c>
      <c r="D5" s="35">
        <f>ABS('P&amp;L and BS'!D19)</f>
        <v>433303</v>
      </c>
      <c r="E5" s="35">
        <f>ABS('P&amp;L and BS'!E19)</f>
        <v>383588</v>
      </c>
      <c r="F5" s="35">
        <f>ABS('P&amp;L and BS'!F19)</f>
        <v>0</v>
      </c>
      <c r="G5" s="148">
        <f>ABS('P&amp;L and BS'!G19)</f>
        <v>507531.43314432004</v>
      </c>
      <c r="H5" s="148">
        <f>ABS('P&amp;L and BS'!H19)</f>
        <v>531135.36980674567</v>
      </c>
      <c r="I5" s="148">
        <f>ABS('P&amp;L and BS'!I19)</f>
        <v>555777.69250270945</v>
      </c>
      <c r="J5" s="148">
        <f>ABS('P&amp;L and BS'!J19)</f>
        <v>581498.97566992126</v>
      </c>
      <c r="K5" s="148">
        <f>ABS('P&amp;L and BS'!K19)</f>
        <v>608340.91487886</v>
      </c>
    </row>
    <row r="6" spans="2:20" ht="13" thickBot="1" x14ac:dyDescent="0.2">
      <c r="B6" s="126" t="s">
        <v>102</v>
      </c>
      <c r="C6" s="126"/>
      <c r="D6" s="126">
        <f>SUM(D4:D5)</f>
        <v>888067</v>
      </c>
      <c r="E6" s="126">
        <f>SUM(E4:E5)</f>
        <v>782010</v>
      </c>
      <c r="F6" s="126">
        <f t="shared" ref="F6:K6" si="0">SUM(F4:F5)</f>
        <v>0</v>
      </c>
      <c r="G6" s="126">
        <f t="shared" si="0"/>
        <v>1057357.1523840001</v>
      </c>
      <c r="H6" s="126">
        <f t="shared" si="0"/>
        <v>1106532.0204307204</v>
      </c>
      <c r="I6" s="126">
        <f t="shared" si="0"/>
        <v>1157870.192713978</v>
      </c>
      <c r="J6" s="126">
        <f t="shared" si="0"/>
        <v>1211456.199312336</v>
      </c>
      <c r="K6" s="126">
        <f t="shared" si="0"/>
        <v>1267376.9059976251</v>
      </c>
    </row>
    <row r="7" spans="2:20" x14ac:dyDescent="0.15">
      <c r="G7" s="148"/>
      <c r="H7" s="148"/>
      <c r="I7" s="148"/>
      <c r="J7" s="148"/>
      <c r="K7" s="148"/>
    </row>
    <row r="8" spans="2:20" ht="11" customHeight="1" x14ac:dyDescent="0.15">
      <c r="B8" s="37" t="s">
        <v>245</v>
      </c>
      <c r="G8" s="148"/>
      <c r="H8" s="148"/>
      <c r="I8" s="148"/>
      <c r="J8" s="148"/>
      <c r="K8" s="148"/>
    </row>
    <row r="9" spans="2:20" x14ac:dyDescent="0.15">
      <c r="B9" s="109" t="s">
        <v>23</v>
      </c>
      <c r="D9" s="35">
        <f>ABS('P&amp;L and BS'!D11)</f>
        <v>97040</v>
      </c>
      <c r="E9" s="35">
        <f>ABS('P&amp;L and BS'!E11)</f>
        <v>103209</v>
      </c>
      <c r="F9" s="35">
        <f>ABS('P&amp;L and BS'!F11)</f>
        <v>0</v>
      </c>
      <c r="G9" s="148">
        <f>ABS('P&amp;L and BS'!G11)</f>
        <v>108786.35040000002</v>
      </c>
      <c r="H9" s="148">
        <f>ABS('P&amp;L and BS'!H11)</f>
        <v>117489.25843200003</v>
      </c>
      <c r="I9" s="148">
        <f>ABS('P&amp;L and BS'!I11)</f>
        <v>126888.39910656004</v>
      </c>
      <c r="J9" s="148">
        <f>ABS('P&amp;L and BS'!J11)</f>
        <v>137039.47103508486</v>
      </c>
      <c r="K9" s="148">
        <f>ABS('P&amp;L and BS'!K11)</f>
        <v>148002.62871789164</v>
      </c>
    </row>
    <row r="10" spans="2:20" ht="26" customHeight="1" x14ac:dyDescent="0.15">
      <c r="B10" s="109" t="s">
        <v>243</v>
      </c>
      <c r="D10" s="35">
        <f>SUM('CF source'!E18:E23)</f>
        <v>21293</v>
      </c>
      <c r="E10" s="35">
        <f>SUM('CF source'!F18:F23)</f>
        <v>13829</v>
      </c>
      <c r="G10" s="148">
        <f>('P&amp;L and BS'!G30-'P&amp;L and BS'!E30)+('P&amp;L and BS'!G29-'P&amp;L and BS'!E29)+('P&amp;L and BS'!G31-'P&amp;L and BS'!E31)-('P&amp;L and BS'!G36-'P&amp;L and BS'!E36)</f>
        <v>51981.704815068537</v>
      </c>
      <c r="H10" s="148">
        <f>('P&amp;L and BS'!H30-'P&amp;L and BS'!G30)+('P&amp;L and BS'!H29-'P&amp;L and BS'!G29)+('P&amp;L and BS'!H31-'P&amp;L and BS'!G31)-('P&amp;L and BS'!H36-'P&amp;L and BS'!G36)</f>
        <v>14505.635240753443</v>
      </c>
      <c r="I10" s="148">
        <f>('P&amp;L and BS'!I30-'P&amp;L and BS'!H30)+('P&amp;L and BS'!I29-'P&amp;L and BS'!H29)+('P&amp;L and BS'!I31-'P&amp;L and BS'!H31)-('P&amp;L and BS'!I36-'P&amp;L and BS'!H36)</f>
        <v>15230.917002791139</v>
      </c>
      <c r="J10" s="148">
        <f>('P&amp;L and BS'!J30-'P&amp;L and BS'!I30)+('P&amp;L and BS'!J29-'P&amp;L and BS'!I29)+('P&amp;L and BS'!J31-'P&amp;L and BS'!I31)-('P&amp;L and BS'!J36-'P&amp;L and BS'!I36)</f>
        <v>15992.46285293065</v>
      </c>
      <c r="K10" s="148">
        <f>('P&amp;L and BS'!K30-'P&amp;L and BS'!J30)+('P&amp;L and BS'!K29-'P&amp;L and BS'!J29)+('P&amp;L and BS'!K31-'P&amp;L and BS'!J31)-('P&amp;L and BS'!K36-'P&amp;L and BS'!J36)</f>
        <v>16792.085995577276</v>
      </c>
      <c r="M10" s="254" t="s">
        <v>257</v>
      </c>
      <c r="N10" s="254"/>
      <c r="O10" s="254"/>
      <c r="P10" s="254"/>
      <c r="Q10" s="254"/>
      <c r="R10" s="254"/>
      <c r="S10" s="254"/>
      <c r="T10" s="254"/>
    </row>
    <row r="11" spans="2:20" ht="14" customHeight="1" x14ac:dyDescent="0.15">
      <c r="B11" s="109" t="s">
        <v>244</v>
      </c>
      <c r="D11" s="35">
        <f>SUM('CF source'!E7:E16,'CF source'!E25:E28)</f>
        <v>-468586</v>
      </c>
      <c r="E11" s="35">
        <f>SUM('CF source'!F7:F16,'CF source'!F25:F28)</f>
        <v>-390160</v>
      </c>
      <c r="G11" s="148">
        <v>0</v>
      </c>
      <c r="H11" s="148">
        <v>0</v>
      </c>
      <c r="I11" s="148">
        <v>0</v>
      </c>
      <c r="J11" s="148">
        <v>0</v>
      </c>
      <c r="K11" s="148">
        <v>0</v>
      </c>
      <c r="M11" s="35" t="s">
        <v>265</v>
      </c>
    </row>
    <row r="12" spans="2:20" ht="13" thickBot="1" x14ac:dyDescent="0.2">
      <c r="B12" s="126" t="s">
        <v>239</v>
      </c>
      <c r="C12" s="126"/>
      <c r="D12" s="126">
        <f>SUM(D6,D9:D11)</f>
        <v>537814</v>
      </c>
      <c r="E12" s="126">
        <f>SUM(E6,E9:E11)</f>
        <v>508888</v>
      </c>
      <c r="F12" s="126">
        <f t="shared" ref="F12:K12" si="1">SUM(F6,F9:F11)</f>
        <v>0</v>
      </c>
      <c r="G12" s="126">
        <f>SUM(G6,G9:G11)</f>
        <v>1218125.2075990688</v>
      </c>
      <c r="H12" s="126">
        <f t="shared" si="1"/>
        <v>1238526.9141034738</v>
      </c>
      <c r="I12" s="126">
        <f t="shared" si="1"/>
        <v>1299989.5088233291</v>
      </c>
      <c r="J12" s="126">
        <f t="shared" si="1"/>
        <v>1364488.1332003516</v>
      </c>
      <c r="K12" s="126">
        <f t="shared" si="1"/>
        <v>1432171.620711094</v>
      </c>
    </row>
    <row r="13" spans="2:20" x14ac:dyDescent="0.15">
      <c r="G13" s="148"/>
      <c r="H13" s="148"/>
      <c r="I13" s="148"/>
      <c r="J13" s="148"/>
      <c r="K13" s="148"/>
    </row>
    <row r="14" spans="2:20" x14ac:dyDescent="0.15">
      <c r="B14" s="37" t="s">
        <v>246</v>
      </c>
      <c r="G14" s="148"/>
      <c r="H14" s="148"/>
      <c r="I14" s="148"/>
      <c r="J14" s="148"/>
      <c r="K14" s="148"/>
    </row>
    <row r="15" spans="2:20" x14ac:dyDescent="0.15">
      <c r="B15" s="109" t="s">
        <v>247</v>
      </c>
      <c r="D15" s="35">
        <f>'CF source'!E31</f>
        <v>-158308</v>
      </c>
      <c r="E15" s="35">
        <f>'CF source'!F31</f>
        <v>-188890</v>
      </c>
      <c r="G15" s="148">
        <f>Assumptions!G122</f>
        <v>-209667.90000000002</v>
      </c>
      <c r="H15" s="148">
        <f>Assumptions!H122</f>
        <v>-232731.36900000004</v>
      </c>
      <c r="I15" s="148">
        <f>Assumptions!I122</f>
        <v>-258331.81959000006</v>
      </c>
      <c r="J15" s="148">
        <f>Assumptions!J122</f>
        <v>-286748.3197449001</v>
      </c>
      <c r="K15" s="148">
        <f>Assumptions!K122</f>
        <v>-318290.63491683913</v>
      </c>
    </row>
    <row r="16" spans="2:20" x14ac:dyDescent="0.15">
      <c r="B16" s="109" t="s">
        <v>248</v>
      </c>
      <c r="D16" s="35">
        <f>SUM('CF source'!E32:E39)</f>
        <v>104289</v>
      </c>
      <c r="E16" s="35">
        <f>SUM('CF source'!F32:F39)</f>
        <v>186029</v>
      </c>
      <c r="G16" s="148">
        <f>Assumptions!G128</f>
        <v>184029</v>
      </c>
      <c r="H16" s="148">
        <f>Assumptions!H128</f>
        <v>182029</v>
      </c>
      <c r="I16" s="148">
        <f>Assumptions!I128</f>
        <v>180029</v>
      </c>
      <c r="J16" s="148">
        <f>Assumptions!J128</f>
        <v>178029</v>
      </c>
      <c r="K16" s="148">
        <f>Assumptions!K128</f>
        <v>176029</v>
      </c>
    </row>
    <row r="17" spans="2:13" ht="13" thickBot="1" x14ac:dyDescent="0.2">
      <c r="B17" s="126" t="s">
        <v>240</v>
      </c>
      <c r="C17" s="126"/>
      <c r="D17" s="126">
        <f>SUM(D15:D16)</f>
        <v>-54019</v>
      </c>
      <c r="E17" s="126">
        <f>SUM(E15:E16)</f>
        <v>-2861</v>
      </c>
      <c r="F17" s="126">
        <f t="shared" ref="F17:K17" si="2">SUM(F15:F16)</f>
        <v>0</v>
      </c>
      <c r="G17" s="126">
        <f>SUM(G15:G16)</f>
        <v>-25638.900000000023</v>
      </c>
      <c r="H17" s="126">
        <f t="shared" si="2"/>
        <v>-50702.369000000035</v>
      </c>
      <c r="I17" s="126">
        <f t="shared" si="2"/>
        <v>-78302.819590000057</v>
      </c>
      <c r="J17" s="126">
        <f t="shared" si="2"/>
        <v>-108719.3197449001</v>
      </c>
      <c r="K17" s="126">
        <f t="shared" si="2"/>
        <v>-142261.63491683913</v>
      </c>
    </row>
    <row r="18" spans="2:13" x14ac:dyDescent="0.15">
      <c r="G18" s="148"/>
      <c r="H18" s="148"/>
      <c r="I18" s="148"/>
      <c r="J18" s="148"/>
      <c r="K18" s="148"/>
    </row>
    <row r="19" spans="2:13" x14ac:dyDescent="0.15">
      <c r="B19" s="37" t="s">
        <v>249</v>
      </c>
      <c r="G19" s="148"/>
      <c r="H19" s="148"/>
      <c r="I19" s="148"/>
      <c r="J19" s="148"/>
      <c r="K19" s="148"/>
    </row>
    <row r="20" spans="2:13" ht="13" customHeight="1" x14ac:dyDescent="0.15">
      <c r="B20" s="109" t="s">
        <v>250</v>
      </c>
      <c r="D20" s="35">
        <f>SUM('CF source'!E47:E48)</f>
        <v>-102438</v>
      </c>
      <c r="E20" s="35">
        <f>SUM('CF source'!F47:F48)</f>
        <v>22916</v>
      </c>
      <c r="G20" s="148">
        <f>'P&amp;L and BS'!G37-'P&amp;L and BS'!E37</f>
        <v>25543.200000000012</v>
      </c>
      <c r="H20" s="148">
        <f>'P&amp;L and BS'!H37-'P&amp;L and BS'!G37</f>
        <v>27586.656000000017</v>
      </c>
      <c r="I20" s="148">
        <f>'P&amp;L and BS'!I37-'P&amp;L and BS'!H37</f>
        <v>29793.588480000035</v>
      </c>
      <c r="J20" s="148">
        <f>'P&amp;L and BS'!J37-'P&amp;L and BS'!I37</f>
        <v>32177.075558400014</v>
      </c>
      <c r="K20" s="148">
        <f>'P&amp;L and BS'!K37-'P&amp;L and BS'!J37</f>
        <v>34751.241603072034</v>
      </c>
      <c r="M20" s="35" t="s">
        <v>263</v>
      </c>
    </row>
    <row r="21" spans="2:13" x14ac:dyDescent="0.15">
      <c r="B21" s="109" t="s">
        <v>251</v>
      </c>
      <c r="D21" s="35">
        <f>SUM('CF source'!E42:E43)</f>
        <v>-381102</v>
      </c>
      <c r="E21" s="35">
        <f>SUM('CF source'!F42:F43)</f>
        <v>-477853</v>
      </c>
      <c r="G21" s="148">
        <f>Assumptions!G134</f>
        <v>-522334.43327769608</v>
      </c>
      <c r="H21" s="148">
        <f>Assumptions!H134</f>
        <v>-546626.81809277576</v>
      </c>
      <c r="I21" s="148">
        <f>Assumptions!I134</f>
        <v>-571987.87520070514</v>
      </c>
      <c r="J21" s="148">
        <f>Assumptions!J134</f>
        <v>-598459.36246029404</v>
      </c>
      <c r="K21" s="148">
        <f>Assumptions!K134</f>
        <v>-626084.19156282675</v>
      </c>
    </row>
    <row r="22" spans="2:13" ht="12" customHeight="1" x14ac:dyDescent="0.15">
      <c r="B22" s="109" t="s">
        <v>252</v>
      </c>
      <c r="D22" s="35">
        <f>SUM('CF source'!E44:E46,'CF source'!E50)</f>
        <v>-13690</v>
      </c>
      <c r="E22" s="35">
        <f>SUM('CF source'!F44:F46,'CF source'!F50)</f>
        <v>-18077</v>
      </c>
      <c r="G22" s="148">
        <f>'P&amp;L and BS'!G15</f>
        <v>-9961.8479999999981</v>
      </c>
      <c r="H22" s="148">
        <f>'P&amp;L and BS'!H15</f>
        <v>-10758.795840000001</v>
      </c>
      <c r="I22" s="148">
        <f>'P&amp;L and BS'!I15</f>
        <v>-11619.4995072</v>
      </c>
      <c r="J22" s="148">
        <f>'P&amp;L and BS'!J15</f>
        <v>-12549.059467776002</v>
      </c>
      <c r="K22" s="148">
        <f>'P&amp;L and BS'!K15</f>
        <v>-13552.984225198083</v>
      </c>
    </row>
    <row r="23" spans="2:13" x14ac:dyDescent="0.15">
      <c r="B23" s="109" t="s">
        <v>253</v>
      </c>
      <c r="D23" s="35">
        <f>SUM('CF source'!E49)</f>
        <v>-13639</v>
      </c>
      <c r="E23" s="35">
        <f>SUM('CF source'!F49)</f>
        <v>-15344</v>
      </c>
      <c r="G23" s="148">
        <f>Assumptions!G140</f>
        <v>-17000</v>
      </c>
      <c r="H23" s="148">
        <f>Assumptions!H140</f>
        <v>-17000</v>
      </c>
      <c r="I23" s="148">
        <f>Assumptions!I140</f>
        <v>-17000</v>
      </c>
      <c r="J23" s="148">
        <f>Assumptions!J140</f>
        <v>-17000</v>
      </c>
      <c r="K23" s="148">
        <f>Assumptions!K140</f>
        <v>-17000</v>
      </c>
    </row>
    <row r="24" spans="2:13" ht="12" customHeight="1" thickBot="1" x14ac:dyDescent="0.2">
      <c r="B24" s="125" t="s">
        <v>241</v>
      </c>
      <c r="C24" s="126"/>
      <c r="D24" s="126">
        <f>SUM(D20:D23)</f>
        <v>-510869</v>
      </c>
      <c r="E24" s="126">
        <f>SUM(E20:E23)</f>
        <v>-488358</v>
      </c>
      <c r="F24" s="126">
        <f t="shared" ref="F24:K24" si="3">SUM(F20:F23)</f>
        <v>0</v>
      </c>
      <c r="G24" s="126">
        <f t="shared" si="3"/>
        <v>-523753.08127769607</v>
      </c>
      <c r="H24" s="126">
        <f t="shared" si="3"/>
        <v>-546798.95793277572</v>
      </c>
      <c r="I24" s="126">
        <f t="shared" si="3"/>
        <v>-570813.78622790508</v>
      </c>
      <c r="J24" s="126">
        <f t="shared" si="3"/>
        <v>-595831.34636967001</v>
      </c>
      <c r="K24" s="126">
        <f t="shared" si="3"/>
        <v>-621885.93418495276</v>
      </c>
    </row>
    <row r="25" spans="2:13" x14ac:dyDescent="0.15">
      <c r="G25" s="148"/>
      <c r="H25" s="148"/>
      <c r="I25" s="148"/>
      <c r="J25" s="148"/>
      <c r="K25" s="148"/>
    </row>
    <row r="26" spans="2:13" x14ac:dyDescent="0.15">
      <c r="B26" s="35" t="s">
        <v>254</v>
      </c>
      <c r="D26" s="35">
        <f>D12+D17+D24</f>
        <v>-27074</v>
      </c>
      <c r="E26" s="35">
        <f>E12+E17+E24</f>
        <v>17669</v>
      </c>
      <c r="F26" s="35">
        <f t="shared" ref="F26:K26" si="4">F12+F17+F24</f>
        <v>0</v>
      </c>
      <c r="G26" s="148">
        <f>G12+G17+G24</f>
        <v>668733.22632137255</v>
      </c>
      <c r="H26" s="148">
        <f t="shared" si="4"/>
        <v>641025.5871706981</v>
      </c>
      <c r="I26" s="148">
        <f t="shared" si="4"/>
        <v>650872.90300542407</v>
      </c>
      <c r="J26" s="148">
        <f t="shared" si="4"/>
        <v>659937.46708578151</v>
      </c>
      <c r="K26" s="148">
        <f t="shared" si="4"/>
        <v>668024.05160930206</v>
      </c>
    </row>
    <row r="27" spans="2:13" x14ac:dyDescent="0.15">
      <c r="B27" s="35" t="s">
        <v>256</v>
      </c>
      <c r="D27" s="35">
        <f>'P&amp;L and BS'!C32</f>
        <v>226047</v>
      </c>
      <c r="E27" s="35">
        <f>'P&amp;L and BS'!D32</f>
        <v>198973</v>
      </c>
      <c r="F27" s="35">
        <f>'P&amp;L and BS'!E32</f>
        <v>216642</v>
      </c>
      <c r="G27" s="148">
        <f>'P&amp;L and BS'!E32</f>
        <v>216642</v>
      </c>
      <c r="H27" s="148">
        <f>G28</f>
        <v>885375.22632137255</v>
      </c>
      <c r="I27" s="148">
        <f>H28</f>
        <v>1526400.8134920707</v>
      </c>
      <c r="J27" s="148">
        <f>I28</f>
        <v>2177273.7164974948</v>
      </c>
      <c r="K27" s="148">
        <f>J28</f>
        <v>2837211.1835832763</v>
      </c>
    </row>
    <row r="28" spans="2:13" x14ac:dyDescent="0.15">
      <c r="B28" s="35" t="s">
        <v>255</v>
      </c>
      <c r="D28" s="35">
        <f>D26+D27</f>
        <v>198973</v>
      </c>
      <c r="E28" s="35">
        <f>E26+E27</f>
        <v>216642</v>
      </c>
      <c r="F28" s="35">
        <f t="shared" ref="F28:K28" si="5">F26+F27</f>
        <v>216642</v>
      </c>
      <c r="G28" s="148">
        <f>G26+G27</f>
        <v>885375.22632137255</v>
      </c>
      <c r="H28" s="148">
        <f t="shared" si="5"/>
        <v>1526400.8134920707</v>
      </c>
      <c r="I28" s="148">
        <f t="shared" si="5"/>
        <v>2177273.7164974948</v>
      </c>
      <c r="J28" s="148">
        <f t="shared" si="5"/>
        <v>2837211.1835832763</v>
      </c>
      <c r="K28" s="148">
        <f t="shared" si="5"/>
        <v>3505235.2351925783</v>
      </c>
    </row>
    <row r="30" spans="2:13" ht="15" customHeight="1" x14ac:dyDescent="0.15">
      <c r="B30" s="35" t="s">
        <v>42</v>
      </c>
      <c r="C30" s="38"/>
      <c r="D30" s="35">
        <f>D27-'P&amp;L and BS'!C32</f>
        <v>0</v>
      </c>
      <c r="E30" s="35">
        <f>E27-D28</f>
        <v>0</v>
      </c>
      <c r="F30" s="35">
        <f t="shared" ref="F30:K30" si="6">F27-E28</f>
        <v>0</v>
      </c>
      <c r="G30" s="35">
        <f>G27-E28</f>
        <v>0</v>
      </c>
      <c r="H30" s="35">
        <f>H27-G28</f>
        <v>0</v>
      </c>
      <c r="I30" s="35">
        <f>I27-H28</f>
        <v>0</v>
      </c>
      <c r="J30" s="35">
        <f t="shared" si="6"/>
        <v>0</v>
      </c>
      <c r="K30" s="35">
        <f t="shared" si="6"/>
        <v>0</v>
      </c>
    </row>
    <row r="31" spans="2:13" x14ac:dyDescent="0.15">
      <c r="B31" s="35" t="s">
        <v>275</v>
      </c>
      <c r="D31" s="123" t="str">
        <f>IF(ABS(D30)&lt;1, "✅", "⚠️")</f>
        <v>✅</v>
      </c>
      <c r="E31" s="123" t="str">
        <f t="shared" ref="E31:K31" si="7">IF(ABS(E30)&lt;1, "✅", "⚠️")</f>
        <v>✅</v>
      </c>
      <c r="F31" s="123"/>
      <c r="G31" s="123" t="str">
        <f t="shared" si="7"/>
        <v>✅</v>
      </c>
      <c r="H31" s="123" t="str">
        <f t="shared" si="7"/>
        <v>✅</v>
      </c>
      <c r="I31" s="123" t="str">
        <f t="shared" si="7"/>
        <v>✅</v>
      </c>
      <c r="J31" s="123" t="str">
        <f t="shared" si="7"/>
        <v>✅</v>
      </c>
      <c r="K31" s="123" t="str">
        <f t="shared" si="7"/>
        <v>✅</v>
      </c>
    </row>
    <row r="32" spans="2:13" ht="15" customHeight="1" x14ac:dyDescent="0.15">
      <c r="B32" s="256" t="s">
        <v>276</v>
      </c>
      <c r="C32" s="257"/>
      <c r="D32" s="38"/>
    </row>
    <row r="33" spans="2:15" x14ac:dyDescent="0.15">
      <c r="B33" s="258"/>
      <c r="C33" s="259"/>
    </row>
    <row r="34" spans="2:15" ht="12" customHeight="1" x14ac:dyDescent="0.15">
      <c r="B34" s="260"/>
      <c r="C34" s="261"/>
      <c r="D34" s="112"/>
      <c r="E34" s="112"/>
    </row>
    <row r="35" spans="2:15" ht="27" thickBot="1" x14ac:dyDescent="0.2">
      <c r="B35" s="12" t="s">
        <v>87</v>
      </c>
      <c r="C35" s="12"/>
      <c r="D35" s="13" t="s">
        <v>74</v>
      </c>
      <c r="E35" s="13" t="s">
        <v>75</v>
      </c>
      <c r="F35" s="14"/>
      <c r="G35" s="15" t="s">
        <v>76</v>
      </c>
      <c r="H35" s="15" t="s">
        <v>77</v>
      </c>
      <c r="I35" s="15" t="s">
        <v>78</v>
      </c>
      <c r="J35" s="15" t="s">
        <v>79</v>
      </c>
      <c r="K35" s="15" t="s">
        <v>72</v>
      </c>
      <c r="L35" s="11"/>
      <c r="M35" s="25" t="s">
        <v>29</v>
      </c>
    </row>
    <row r="36" spans="2:15" ht="13" x14ac:dyDescent="0.15">
      <c r="B36" s="127" t="s">
        <v>277</v>
      </c>
      <c r="G36" s="148"/>
      <c r="H36" s="148"/>
      <c r="I36" s="148"/>
      <c r="J36" s="148"/>
      <c r="K36" s="148"/>
      <c r="M36" s="255" t="s">
        <v>278</v>
      </c>
      <c r="N36" s="255"/>
      <c r="O36" s="255"/>
    </row>
    <row r="37" spans="2:15" x14ac:dyDescent="0.15">
      <c r="B37" s="109" t="s">
        <v>32</v>
      </c>
      <c r="D37" s="35">
        <f>'P&amp;L and BS'!D12</f>
        <v>868287</v>
      </c>
      <c r="E37" s="35">
        <f>'P&amp;L and BS'!E12</f>
        <v>774625</v>
      </c>
      <c r="F37" s="35">
        <f>'P&amp;L and BS'!F12</f>
        <v>0</v>
      </c>
      <c r="G37" s="148">
        <f>'P&amp;L and BS'!G12</f>
        <v>1026268.2696000001</v>
      </c>
      <c r="H37" s="148">
        <f>'P&amp;L and BS'!H12</f>
        <v>1074318.0925680003</v>
      </c>
      <c r="I37" s="148">
        <f>'P&amp;L and BS'!I12</f>
        <v>1124509.3194434403</v>
      </c>
      <c r="J37" s="148">
        <f>'P&amp;L and BS'!J12</f>
        <v>1176928.1334424154</v>
      </c>
      <c r="K37" s="148">
        <f>'P&amp;L and BS'!K12</f>
        <v>1231663.3559834838</v>
      </c>
      <c r="M37" s="255"/>
      <c r="N37" s="255"/>
      <c r="O37" s="255"/>
    </row>
    <row r="38" spans="2:15" x14ac:dyDescent="0.15">
      <c r="B38" s="109" t="s">
        <v>279</v>
      </c>
      <c r="D38" s="83">
        <f>'P&amp;L and BS'!D18</f>
        <v>0.48791701527024423</v>
      </c>
      <c r="E38" s="83">
        <f>'P&amp;L and BS'!E18</f>
        <v>0.49051546655413614</v>
      </c>
      <c r="F38" s="83"/>
      <c r="G38" s="149">
        <f>'P&amp;L and BS'!G18</f>
        <v>0.48</v>
      </c>
      <c r="H38" s="149">
        <f>'P&amp;L and BS'!H18</f>
        <v>0.47999999999999987</v>
      </c>
      <c r="I38" s="149">
        <f>'P&amp;L and BS'!I18</f>
        <v>0.48000000000000004</v>
      </c>
      <c r="J38" s="149">
        <f>'P&amp;L and BS'!J18</f>
        <v>0.48</v>
      </c>
      <c r="K38" s="149">
        <f>'P&amp;L and BS'!K18</f>
        <v>0.48</v>
      </c>
      <c r="M38" s="255"/>
      <c r="N38" s="255"/>
      <c r="O38" s="255"/>
    </row>
    <row r="39" spans="2:15" x14ac:dyDescent="0.15">
      <c r="B39" s="124" t="s">
        <v>280</v>
      </c>
      <c r="C39" s="124"/>
      <c r="D39" s="124">
        <f>D37*(1-D38)</f>
        <v>444634.99856204545</v>
      </c>
      <c r="E39" s="124">
        <f t="shared" ref="E39:K39" si="8">E37*(1-E38)</f>
        <v>394659.45672050229</v>
      </c>
      <c r="F39" s="124">
        <f t="shared" si="8"/>
        <v>0</v>
      </c>
      <c r="G39" s="124">
        <f t="shared" si="8"/>
        <v>533659.50019200006</v>
      </c>
      <c r="H39" s="124">
        <f t="shared" si="8"/>
        <v>558645.40813536034</v>
      </c>
      <c r="I39" s="124">
        <f t="shared" si="8"/>
        <v>584744.84611058899</v>
      </c>
      <c r="J39" s="124">
        <f t="shared" si="8"/>
        <v>612002.62939005601</v>
      </c>
      <c r="K39" s="124">
        <f t="shared" si="8"/>
        <v>640464.94511141162</v>
      </c>
      <c r="M39" s="255"/>
      <c r="N39" s="255"/>
      <c r="O39" s="255"/>
    </row>
    <row r="40" spans="2:15" x14ac:dyDescent="0.15">
      <c r="G40" s="148"/>
      <c r="H40" s="148"/>
      <c r="I40" s="148"/>
      <c r="J40" s="148"/>
      <c r="K40" s="148"/>
      <c r="M40" s="255"/>
      <c r="N40" s="255"/>
      <c r="O40" s="255"/>
    </row>
    <row r="41" spans="2:15" x14ac:dyDescent="0.15">
      <c r="B41" s="35" t="s">
        <v>281</v>
      </c>
      <c r="D41" s="35">
        <f>'Cash Flow'!D9</f>
        <v>97040</v>
      </c>
      <c r="E41" s="35">
        <f>'Cash Flow'!E9</f>
        <v>103209</v>
      </c>
      <c r="F41" s="35">
        <f>'Cash Flow'!F9</f>
        <v>0</v>
      </c>
      <c r="G41" s="148">
        <f>'Cash Flow'!G9</f>
        <v>108786.35040000002</v>
      </c>
      <c r="H41" s="148">
        <f>'Cash Flow'!H9</f>
        <v>117489.25843200003</v>
      </c>
      <c r="I41" s="148">
        <f>'Cash Flow'!I9</f>
        <v>126888.39910656004</v>
      </c>
      <c r="J41" s="148">
        <f>'Cash Flow'!J9</f>
        <v>137039.47103508486</v>
      </c>
      <c r="K41" s="148">
        <f>'Cash Flow'!K9</f>
        <v>148002.62871789164</v>
      </c>
      <c r="M41" s="255"/>
      <c r="N41" s="255"/>
      <c r="O41" s="255"/>
    </row>
    <row r="42" spans="2:15" x14ac:dyDescent="0.15">
      <c r="B42" s="35" t="s">
        <v>282</v>
      </c>
      <c r="D42" s="35">
        <f>D15</f>
        <v>-158308</v>
      </c>
      <c r="E42" s="35">
        <f t="shared" ref="E42:K42" si="9">E15</f>
        <v>-188890</v>
      </c>
      <c r="F42" s="35">
        <f t="shared" si="9"/>
        <v>0</v>
      </c>
      <c r="G42" s="148">
        <f t="shared" si="9"/>
        <v>-209667.90000000002</v>
      </c>
      <c r="H42" s="148">
        <f t="shared" si="9"/>
        <v>-232731.36900000004</v>
      </c>
      <c r="I42" s="148">
        <f t="shared" si="9"/>
        <v>-258331.81959000006</v>
      </c>
      <c r="J42" s="148">
        <f t="shared" si="9"/>
        <v>-286748.3197449001</v>
      </c>
      <c r="K42" s="148">
        <f t="shared" si="9"/>
        <v>-318290.63491683913</v>
      </c>
      <c r="M42" s="255"/>
      <c r="N42" s="255"/>
      <c r="O42" s="255"/>
    </row>
    <row r="43" spans="2:15" x14ac:dyDescent="0.15">
      <c r="B43" s="35" t="s">
        <v>283</v>
      </c>
      <c r="D43" s="35">
        <f>D10</f>
        <v>21293</v>
      </c>
      <c r="E43" s="35">
        <f t="shared" ref="E43:K43" si="10">E10</f>
        <v>13829</v>
      </c>
      <c r="F43" s="35">
        <f t="shared" si="10"/>
        <v>0</v>
      </c>
      <c r="G43" s="148">
        <f t="shared" si="10"/>
        <v>51981.704815068537</v>
      </c>
      <c r="H43" s="148">
        <f t="shared" si="10"/>
        <v>14505.635240753443</v>
      </c>
      <c r="I43" s="148">
        <f t="shared" si="10"/>
        <v>15230.917002791139</v>
      </c>
      <c r="J43" s="148">
        <f t="shared" si="10"/>
        <v>15992.46285293065</v>
      </c>
      <c r="K43" s="148">
        <f t="shared" si="10"/>
        <v>16792.085995577276</v>
      </c>
      <c r="M43" s="255"/>
      <c r="N43" s="255"/>
      <c r="O43" s="255"/>
    </row>
    <row r="44" spans="2:15" x14ac:dyDescent="0.15">
      <c r="B44" s="30" t="s">
        <v>44</v>
      </c>
      <c r="C44" s="30"/>
      <c r="D44" s="30">
        <f>SUM(D39,D41:D43)</f>
        <v>404659.9985620454</v>
      </c>
      <c r="E44" s="30">
        <f t="shared" ref="E44" si="11">SUM(E39,E41:E43)</f>
        <v>322807.45672050229</v>
      </c>
      <c r="F44" s="30">
        <f t="shared" ref="F44" si="12">SUM(F39,F41:F43)</f>
        <v>0</v>
      </c>
      <c r="G44" s="30">
        <f t="shared" ref="G44" si="13">SUM(G39,G41:G43)</f>
        <v>484759.65540706855</v>
      </c>
      <c r="H44" s="30">
        <f t="shared" ref="H44" si="14">SUM(H39,H41:H43)</f>
        <v>457908.93280811375</v>
      </c>
      <c r="I44" s="30">
        <f t="shared" ref="I44" si="15">SUM(I39,I41:I43)</f>
        <v>468532.34262994007</v>
      </c>
      <c r="J44" s="30">
        <f t="shared" ref="J44" si="16">SUM(J39,J41:J43)</f>
        <v>478286.24353317148</v>
      </c>
      <c r="K44" s="30">
        <f t="shared" ref="K44" si="17">SUM(K39,K41:K43)</f>
        <v>486969.02490804141</v>
      </c>
      <c r="M44" s="255"/>
      <c r="N44" s="255"/>
      <c r="O44" s="255"/>
    </row>
    <row r="77" spans="2:11" x14ac:dyDescent="0.15">
      <c r="D77" s="36"/>
      <c r="E77" s="36"/>
      <c r="F77" s="36"/>
      <c r="G77" s="36"/>
      <c r="H77" s="36"/>
      <c r="I77" s="36"/>
      <c r="J77" s="36"/>
      <c r="K77" s="36"/>
    </row>
    <row r="78" spans="2:11" x14ac:dyDescent="0.15">
      <c r="B78" s="28"/>
      <c r="C78" s="28"/>
      <c r="D78" s="28"/>
      <c r="E78" s="28"/>
      <c r="F78" s="28"/>
      <c r="G78" s="28"/>
      <c r="H78" s="28"/>
      <c r="I78" s="28"/>
      <c r="J78" s="28"/>
      <c r="K78" s="28"/>
    </row>
    <row r="79" spans="2:11" x14ac:dyDescent="0.15">
      <c r="B79" s="28"/>
      <c r="C79" s="28"/>
      <c r="D79" s="28"/>
      <c r="E79" s="28"/>
      <c r="G79" s="28"/>
      <c r="H79" s="28"/>
      <c r="I79" s="28"/>
      <c r="J79" s="28"/>
      <c r="K79" s="28"/>
    </row>
    <row r="81" spans="2:11" x14ac:dyDescent="0.15">
      <c r="B81" s="28"/>
      <c r="C81" s="28"/>
      <c r="D81" s="28"/>
      <c r="E81" s="28"/>
      <c r="F81" s="28"/>
      <c r="G81" s="28"/>
      <c r="H81" s="28"/>
      <c r="I81" s="28"/>
      <c r="J81" s="28"/>
      <c r="K81" s="28"/>
    </row>
    <row r="82" spans="2:11" x14ac:dyDescent="0.15">
      <c r="F82" s="29"/>
    </row>
    <row r="83" spans="2:11" x14ac:dyDescent="0.15">
      <c r="F83" s="128"/>
    </row>
    <row r="84" spans="2:11" x14ac:dyDescent="0.15">
      <c r="F84" s="128"/>
    </row>
    <row r="86" spans="2:11" x14ac:dyDescent="0.15">
      <c r="B86" s="28"/>
      <c r="C86" s="28"/>
      <c r="D86" s="28"/>
      <c r="E86" s="28"/>
      <c r="F86" s="28"/>
      <c r="G86" s="28"/>
      <c r="H86" s="28"/>
      <c r="I86" s="28"/>
      <c r="J86" s="28"/>
      <c r="K86" s="28"/>
    </row>
    <row r="87" spans="2:11" x14ac:dyDescent="0.15">
      <c r="B87" s="37"/>
      <c r="C87" s="37"/>
      <c r="D87" s="37"/>
      <c r="E87" s="37"/>
      <c r="G87" s="37"/>
      <c r="H87" s="37"/>
      <c r="I87" s="37"/>
      <c r="J87" s="37"/>
      <c r="K87" s="37"/>
    </row>
    <row r="88" spans="2:11" x14ac:dyDescent="0.15">
      <c r="B88" s="37"/>
      <c r="C88" s="37"/>
      <c r="D88" s="37"/>
      <c r="E88" s="37"/>
      <c r="G88" s="37"/>
      <c r="H88" s="37"/>
      <c r="I88" s="37"/>
      <c r="J88" s="37"/>
      <c r="K88" s="37"/>
    </row>
    <row r="89" spans="2:11" x14ac:dyDescent="0.15">
      <c r="B89" s="37"/>
      <c r="C89" s="37"/>
      <c r="D89" s="37"/>
      <c r="E89" s="37"/>
      <c r="G89" s="37"/>
      <c r="H89" s="37"/>
      <c r="I89" s="37"/>
      <c r="J89" s="37"/>
      <c r="K89" s="37"/>
    </row>
    <row r="90" spans="2:11" x14ac:dyDescent="0.15">
      <c r="B90" s="37"/>
      <c r="C90" s="37"/>
      <c r="D90" s="37"/>
      <c r="E90" s="37"/>
      <c r="F90" s="129"/>
      <c r="G90" s="37"/>
      <c r="H90" s="37"/>
      <c r="I90" s="37"/>
      <c r="J90" s="37"/>
      <c r="K90" s="37"/>
    </row>
    <row r="93" spans="2:11" x14ac:dyDescent="0.15">
      <c r="B93" s="130"/>
    </row>
    <row r="94" spans="2:11" x14ac:dyDescent="0.15">
      <c r="B94" s="131"/>
      <c r="C94" s="129"/>
    </row>
    <row r="95" spans="2:11" x14ac:dyDescent="0.15">
      <c r="B95" s="131"/>
    </row>
    <row r="96" spans="2:11" x14ac:dyDescent="0.15">
      <c r="B96" s="131"/>
      <c r="C96" s="38"/>
      <c r="F96" s="132"/>
    </row>
    <row r="97" spans="2:11" x14ac:dyDescent="0.15">
      <c r="B97" s="131"/>
      <c r="C97" s="38"/>
    </row>
    <row r="98" spans="2:11" x14ac:dyDescent="0.15">
      <c r="B98" s="129"/>
      <c r="C98" s="129"/>
      <c r="D98" s="129"/>
      <c r="E98" s="129"/>
      <c r="F98" s="129"/>
      <c r="G98" s="129"/>
      <c r="H98" s="129"/>
      <c r="I98" s="129"/>
      <c r="J98" s="129"/>
      <c r="K98" s="129"/>
    </row>
    <row r="99" spans="2:11" x14ac:dyDescent="0.15">
      <c r="B99" s="130"/>
      <c r="G99" s="133"/>
      <c r="H99" s="133"/>
      <c r="I99" s="133"/>
      <c r="J99" s="133"/>
      <c r="K99" s="133"/>
    </row>
    <row r="100" spans="2:11" x14ac:dyDescent="0.15">
      <c r="B100" s="134"/>
      <c r="C100" s="38"/>
      <c r="D100" s="135"/>
      <c r="E100" s="135"/>
      <c r="F100" s="135"/>
      <c r="G100" s="135"/>
      <c r="H100" s="135"/>
      <c r="I100" s="135"/>
      <c r="J100" s="135"/>
      <c r="K100" s="135"/>
    </row>
    <row r="101" spans="2:11" x14ac:dyDescent="0.15">
      <c r="B101" s="38"/>
      <c r="C101" s="38"/>
      <c r="D101" s="38"/>
      <c r="E101" s="38"/>
      <c r="G101" s="38"/>
    </row>
    <row r="103" spans="2:11" x14ac:dyDescent="0.15">
      <c r="B103" s="38"/>
      <c r="C103" s="38"/>
      <c r="D103" s="38"/>
      <c r="E103" s="38"/>
      <c r="F103" s="38"/>
      <c r="G103" s="38"/>
      <c r="H103" s="38"/>
      <c r="I103" s="38"/>
      <c r="J103" s="38"/>
      <c r="K103" s="38"/>
    </row>
    <row r="104" spans="2:11" x14ac:dyDescent="0.15">
      <c r="D104" s="38"/>
      <c r="E104" s="38"/>
      <c r="G104" s="38"/>
    </row>
  </sheetData>
  <mergeCells count="3">
    <mergeCell ref="M10:T10"/>
    <mergeCell ref="M36:O44"/>
    <mergeCell ref="B32:C3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AFC2-C2C7-694A-B3BB-5D865E42F5FC}">
  <sheetPr>
    <tabColor rgb="FF002060"/>
  </sheetPr>
  <dimension ref="B1:B11"/>
  <sheetViews>
    <sheetView zoomScale="130" zoomScaleNormal="130" workbookViewId="0">
      <selection activeCell="B12" sqref="B12"/>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9" t="s">
        <v>237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9AB96-A294-8644-8E2B-2D407723E83B}">
  <dimension ref="B1:M25"/>
  <sheetViews>
    <sheetView zoomScale="130" zoomScaleNormal="130" workbookViewId="0">
      <selection activeCell="C8" sqref="C8"/>
    </sheetView>
  </sheetViews>
  <sheetFormatPr baseColWidth="10" defaultColWidth="9.1640625" defaultRowHeight="12" x14ac:dyDescent="0.15"/>
  <cols>
    <col min="1" max="1" width="2" style="11" customWidth="1"/>
    <col min="2" max="2" width="22.6640625" style="11" customWidth="1"/>
    <col min="3" max="3" width="10.33203125" style="11" bestFit="1" customWidth="1"/>
    <col min="4" max="4" width="9.1640625" style="11"/>
    <col min="5" max="5" width="11.5" style="11" bestFit="1" customWidth="1"/>
    <col min="6" max="6" width="7" style="11" bestFit="1" customWidth="1"/>
    <col min="7" max="7" width="10" style="11" bestFit="1" customWidth="1"/>
    <col min="8" max="11" width="9.1640625" style="11"/>
    <col min="12" max="12" width="2" style="11" customWidth="1"/>
    <col min="13" max="16384" width="9.1640625" style="11"/>
  </cols>
  <sheetData>
    <row r="1" spans="2:13" ht="16" x14ac:dyDescent="0.2">
      <c r="B1" s="10" t="s">
        <v>45</v>
      </c>
      <c r="C1" s="11" t="s">
        <v>314</v>
      </c>
    </row>
    <row r="2" spans="2:13" x14ac:dyDescent="0.15">
      <c r="C2" s="11" t="s">
        <v>315</v>
      </c>
    </row>
    <row r="4" spans="2:13" ht="16" thickBot="1" x14ac:dyDescent="0.25">
      <c r="B4" s="164" t="s">
        <v>381</v>
      </c>
      <c r="C4" s="165"/>
      <c r="D4" s="212" t="s">
        <v>29</v>
      </c>
      <c r="F4" s="166"/>
    </row>
    <row r="5" spans="2:13" ht="15" x14ac:dyDescent="0.2">
      <c r="B5" s="166" t="s">
        <v>383</v>
      </c>
      <c r="C5" s="213">
        <f>'Comps Model'!F8</f>
        <v>1583118.8800000001</v>
      </c>
      <c r="D5" s="166" t="s">
        <v>379</v>
      </c>
    </row>
    <row r="6" spans="2:13" ht="15" x14ac:dyDescent="0.2">
      <c r="B6" s="166" t="s">
        <v>316</v>
      </c>
      <c r="C6" s="214">
        <f>C5/C17</f>
        <v>0.99976488339803993</v>
      </c>
      <c r="D6" s="166" t="s">
        <v>387</v>
      </c>
      <c r="E6" s="166"/>
    </row>
    <row r="7" spans="2:13" ht="15" x14ac:dyDescent="0.2">
      <c r="B7" s="166" t="s">
        <v>317</v>
      </c>
      <c r="C7" s="214">
        <f>C8+C9*C10</f>
        <v>9.0520000000000003E-2</v>
      </c>
      <c r="D7" s="166" t="s">
        <v>388</v>
      </c>
      <c r="E7" s="166"/>
      <c r="G7" s="14"/>
      <c r="H7" s="14"/>
      <c r="I7" s="14"/>
      <c r="J7" s="14"/>
      <c r="K7" s="14"/>
      <c r="M7" s="157"/>
    </row>
    <row r="8" spans="2:13" ht="15" x14ac:dyDescent="0.2">
      <c r="B8" s="166" t="s">
        <v>318</v>
      </c>
      <c r="C8" s="214">
        <v>4.3770000000000003E-2</v>
      </c>
      <c r="D8" s="166" t="s">
        <v>386</v>
      </c>
      <c r="E8" s="166"/>
      <c r="G8" s="16"/>
      <c r="H8" s="16"/>
      <c r="I8" s="16"/>
      <c r="J8" s="16"/>
      <c r="K8" s="16"/>
    </row>
    <row r="9" spans="2:13" ht="16" customHeight="1" x14ac:dyDescent="0.2">
      <c r="B9" s="166" t="s">
        <v>319</v>
      </c>
      <c r="C9" s="217">
        <v>0.85</v>
      </c>
      <c r="D9" s="166" t="s">
        <v>390</v>
      </c>
      <c r="E9" s="166"/>
      <c r="G9" s="16"/>
      <c r="H9" s="16"/>
      <c r="I9" s="16"/>
      <c r="J9" s="16"/>
      <c r="K9" s="16"/>
    </row>
    <row r="10" spans="2:13" ht="15" x14ac:dyDescent="0.2">
      <c r="B10" s="166" t="s">
        <v>320</v>
      </c>
      <c r="C10" s="214">
        <v>5.5E-2</v>
      </c>
      <c r="D10" s="166" t="s">
        <v>385</v>
      </c>
      <c r="E10" s="166"/>
      <c r="G10" s="162"/>
      <c r="H10" s="162"/>
      <c r="I10" s="162"/>
      <c r="J10" s="162"/>
      <c r="K10" s="162"/>
    </row>
    <row r="11" spans="2:13" ht="15" x14ac:dyDescent="0.2">
      <c r="B11" s="166"/>
      <c r="C11" s="166"/>
      <c r="D11" s="166"/>
      <c r="E11" s="166"/>
      <c r="G11" s="158"/>
      <c r="H11" s="158"/>
      <c r="I11" s="158"/>
      <c r="J11" s="158"/>
      <c r="K11" s="158"/>
    </row>
    <row r="12" spans="2:13" ht="15" x14ac:dyDescent="0.2">
      <c r="B12" s="166" t="s">
        <v>382</v>
      </c>
      <c r="C12" s="215">
        <f>'Comps Model'!G8</f>
        <v>372.30506666666668</v>
      </c>
      <c r="D12" s="166" t="s">
        <v>380</v>
      </c>
      <c r="E12" s="166"/>
      <c r="G12" s="159"/>
      <c r="H12" s="16"/>
      <c r="I12" s="16"/>
      <c r="J12" s="16"/>
      <c r="K12" s="16"/>
    </row>
    <row r="13" spans="2:13" ht="15" x14ac:dyDescent="0.2">
      <c r="B13" s="166" t="s">
        <v>321</v>
      </c>
      <c r="C13" s="214">
        <f>C12/C17</f>
        <v>2.3511660196011273E-4</v>
      </c>
      <c r="D13" s="166"/>
      <c r="E13" s="166"/>
      <c r="G13" s="159"/>
      <c r="H13" s="16"/>
      <c r="I13" s="16"/>
      <c r="J13" s="16"/>
      <c r="K13" s="16"/>
    </row>
    <row r="14" spans="2:13" ht="15" x14ac:dyDescent="0.2">
      <c r="B14" s="166" t="s">
        <v>322</v>
      </c>
      <c r="C14" s="214">
        <v>0.04</v>
      </c>
      <c r="D14" s="166" t="s">
        <v>391</v>
      </c>
      <c r="E14" s="166"/>
      <c r="G14" s="163"/>
      <c r="H14" s="163"/>
      <c r="I14" s="163"/>
      <c r="J14" s="163"/>
      <c r="K14" s="163"/>
    </row>
    <row r="15" spans="2:13" ht="15" x14ac:dyDescent="0.2">
      <c r="B15" s="166" t="s">
        <v>279</v>
      </c>
      <c r="C15" s="216">
        <f>'P&amp;L and BS'!E18</f>
        <v>0.49051546655413614</v>
      </c>
      <c r="D15" s="166" t="s">
        <v>384</v>
      </c>
      <c r="E15" s="166"/>
      <c r="G15" s="159"/>
      <c r="H15" s="16"/>
      <c r="I15" s="16"/>
      <c r="J15" s="16"/>
      <c r="K15" s="16"/>
    </row>
    <row r="16" spans="2:13" ht="15" x14ac:dyDescent="0.2">
      <c r="B16" s="166"/>
      <c r="C16" s="166"/>
      <c r="D16" s="166"/>
      <c r="E16" s="166"/>
    </row>
    <row r="17" spans="2:11" ht="15" x14ac:dyDescent="0.2">
      <c r="B17" s="166" t="s">
        <v>323</v>
      </c>
      <c r="C17" s="213">
        <f>C5+C12</f>
        <v>1583491.1850666667</v>
      </c>
      <c r="D17" s="166"/>
      <c r="E17" s="166"/>
    </row>
    <row r="18" spans="2:11" ht="15" x14ac:dyDescent="0.2">
      <c r="B18" s="166"/>
      <c r="C18" s="166"/>
      <c r="D18" s="166"/>
      <c r="E18" s="166"/>
    </row>
    <row r="19" spans="2:11" ht="15" x14ac:dyDescent="0.2">
      <c r="B19" s="224" t="s">
        <v>45</v>
      </c>
      <c r="C19" s="223">
        <f>C6*C7+(C13*C14*(1-C15))</f>
        <v>9.0503508776080779E-2</v>
      </c>
      <c r="D19" s="166"/>
      <c r="E19" s="166"/>
    </row>
    <row r="21" spans="2:11" x14ac:dyDescent="0.15">
      <c r="B21" s="160"/>
      <c r="C21" s="160"/>
      <c r="G21" s="44"/>
      <c r="H21" s="161"/>
      <c r="I21" s="161"/>
      <c r="J21" s="161"/>
      <c r="K21" s="161"/>
    </row>
    <row r="22" spans="2:11" x14ac:dyDescent="0.15">
      <c r="G22" s="161"/>
      <c r="H22" s="16"/>
      <c r="I22" s="16"/>
      <c r="J22" s="16"/>
      <c r="K22" s="16"/>
    </row>
    <row r="23" spans="2:11" x14ac:dyDescent="0.15">
      <c r="G23" s="161"/>
      <c r="H23" s="16"/>
      <c r="I23" s="69"/>
      <c r="J23" s="16"/>
      <c r="K23" s="16"/>
    </row>
    <row r="24" spans="2:11" x14ac:dyDescent="0.15">
      <c r="G24" s="161"/>
      <c r="H24" s="16"/>
      <c r="I24" s="16"/>
      <c r="J24" s="16"/>
      <c r="K24" s="16"/>
    </row>
    <row r="25" spans="2:11" x14ac:dyDescent="0.15">
      <c r="G25" s="161"/>
      <c r="H25" s="16"/>
      <c r="I25" s="16"/>
      <c r="J25" s="16"/>
      <c r="K25" s="1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58EC9-E657-3B42-9CC9-0F353C7E5567}">
  <dimension ref="B1:M29"/>
  <sheetViews>
    <sheetView zoomScale="130" zoomScaleNormal="130" workbookViewId="0">
      <selection activeCell="C23" sqref="C23"/>
    </sheetView>
  </sheetViews>
  <sheetFormatPr baseColWidth="10" defaultColWidth="9.1640625" defaultRowHeight="12" x14ac:dyDescent="0.15"/>
  <cols>
    <col min="1" max="1" width="2" style="11" customWidth="1"/>
    <col min="2" max="2" width="22.6640625" style="11" customWidth="1"/>
    <col min="3" max="3" width="10.33203125" style="11" bestFit="1" customWidth="1"/>
    <col min="4" max="4" width="9.1640625" style="11"/>
    <col min="5" max="5" width="11.5" style="11" bestFit="1" customWidth="1"/>
    <col min="6" max="6" width="2" style="11" customWidth="1"/>
    <col min="7" max="7" width="10" style="11" bestFit="1" customWidth="1"/>
    <col min="8" max="8" width="10.33203125" style="11" bestFit="1" customWidth="1"/>
    <col min="9" max="11" width="9.1640625" style="11"/>
    <col min="12" max="12" width="2" style="11" customWidth="1"/>
    <col min="13" max="16384" width="9.1640625" style="11"/>
  </cols>
  <sheetData>
    <row r="1" spans="2:13" ht="16" x14ac:dyDescent="0.2">
      <c r="B1" s="10" t="s">
        <v>0</v>
      </c>
    </row>
    <row r="2" spans="2:13" x14ac:dyDescent="0.15">
      <c r="B2" s="11" t="s">
        <v>88</v>
      </c>
    </row>
    <row r="4" spans="2:13" x14ac:dyDescent="0.15">
      <c r="B4" s="11" t="s">
        <v>45</v>
      </c>
      <c r="C4" s="218">
        <f>WACC!C19</f>
        <v>9.0503508776080779E-2</v>
      </c>
      <c r="D4" s="11" t="s">
        <v>389</v>
      </c>
    </row>
    <row r="5" spans="2:13" x14ac:dyDescent="0.15">
      <c r="B5" s="11" t="s">
        <v>46</v>
      </c>
      <c r="C5" s="39">
        <f>Assumptions!C147</f>
        <v>1.4999999999999999E-2</v>
      </c>
      <c r="D5" s="11" t="s">
        <v>394</v>
      </c>
    </row>
    <row r="6" spans="2:13" x14ac:dyDescent="0.15">
      <c r="G6" s="11">
        <v>1</v>
      </c>
      <c r="H6" s="11">
        <v>2</v>
      </c>
      <c r="I6" s="11">
        <v>3</v>
      </c>
      <c r="J6" s="11">
        <v>4</v>
      </c>
      <c r="K6" s="11">
        <v>5</v>
      </c>
    </row>
    <row r="7" spans="2:13" ht="27" thickBot="1" x14ac:dyDescent="0.2">
      <c r="B7" s="12" t="s">
        <v>87</v>
      </c>
      <c r="C7" s="13" t="s">
        <v>73</v>
      </c>
      <c r="D7" s="13" t="s">
        <v>74</v>
      </c>
      <c r="E7" s="13" t="s">
        <v>75</v>
      </c>
      <c r="F7" s="14"/>
      <c r="G7" s="15" t="s">
        <v>76</v>
      </c>
      <c r="H7" s="15" t="s">
        <v>77</v>
      </c>
      <c r="I7" s="15" t="s">
        <v>78</v>
      </c>
      <c r="J7" s="15" t="s">
        <v>79</v>
      </c>
      <c r="K7" s="15" t="s">
        <v>72</v>
      </c>
      <c r="M7" s="25" t="s">
        <v>29</v>
      </c>
    </row>
    <row r="8" spans="2:13" x14ac:dyDescent="0.15">
      <c r="B8" s="11" t="s">
        <v>44</v>
      </c>
      <c r="D8" s="16">
        <f>'Cash Flow'!D44</f>
        <v>404659.9985620454</v>
      </c>
      <c r="E8" s="16">
        <f>'Cash Flow'!E44</f>
        <v>322807.45672050229</v>
      </c>
      <c r="F8" s="16">
        <f>'Cash Flow'!F44</f>
        <v>0</v>
      </c>
      <c r="G8" s="17">
        <f>'Cash Flow'!G44</f>
        <v>484759.65540706855</v>
      </c>
      <c r="H8" s="17">
        <f>'Cash Flow'!H44</f>
        <v>457908.93280811375</v>
      </c>
      <c r="I8" s="17">
        <f>'Cash Flow'!I44</f>
        <v>468532.34262994007</v>
      </c>
      <c r="J8" s="17">
        <f>'Cash Flow'!J44</f>
        <v>478286.24353317148</v>
      </c>
      <c r="K8" s="17">
        <f>'Cash Flow'!K44</f>
        <v>486969.02490804141</v>
      </c>
    </row>
    <row r="9" spans="2:13" ht="3.75" customHeight="1" x14ac:dyDescent="0.15">
      <c r="G9" s="17"/>
      <c r="H9" s="17"/>
      <c r="I9" s="17"/>
      <c r="J9" s="17"/>
      <c r="K9" s="17"/>
    </row>
    <row r="10" spans="2:13" x14ac:dyDescent="0.15">
      <c r="B10" s="11" t="s">
        <v>47</v>
      </c>
      <c r="G10" s="40">
        <f>1/(1+$C$4)^G6</f>
        <v>0.91700759507169605</v>
      </c>
      <c r="H10" s="40">
        <f t="shared" ref="H10:K10" si="0">1/(1+$C$4)^H6</f>
        <v>0.84090292941917555</v>
      </c>
      <c r="I10" s="40">
        <f t="shared" si="0"/>
        <v>0.77111437299542229</v>
      </c>
      <c r="J10" s="40">
        <f t="shared" si="0"/>
        <v>0.70711773670575095</v>
      </c>
      <c r="K10" s="40">
        <f t="shared" si="0"/>
        <v>0.64843233516908139</v>
      </c>
    </row>
    <row r="11" spans="2:13" x14ac:dyDescent="0.15">
      <c r="B11" s="26" t="s">
        <v>48</v>
      </c>
      <c r="C11" s="26"/>
      <c r="D11" s="26"/>
      <c r="E11" s="26"/>
      <c r="F11" s="27"/>
      <c r="G11" s="41">
        <f>G8*G10</f>
        <v>444528.28579262004</v>
      </c>
      <c r="H11" s="41">
        <f t="shared" ref="H11:K11" si="1">H8*H10</f>
        <v>385056.96300555125</v>
      </c>
      <c r="I11" s="41">
        <f t="shared" si="1"/>
        <v>361292.02361516259</v>
      </c>
      <c r="J11" s="41">
        <f t="shared" si="1"/>
        <v>338204.68602467183</v>
      </c>
      <c r="K11" s="41">
        <f t="shared" si="1"/>
        <v>315766.46197613183</v>
      </c>
    </row>
    <row r="12" spans="2:13" x14ac:dyDescent="0.15">
      <c r="G12" s="42"/>
      <c r="H12" s="16"/>
      <c r="I12" s="16"/>
      <c r="J12" s="16"/>
      <c r="K12" s="16"/>
    </row>
    <row r="13" spans="2:13" x14ac:dyDescent="0.15">
      <c r="G13" s="42"/>
      <c r="H13" s="16"/>
      <c r="I13" s="16"/>
      <c r="J13" s="16"/>
      <c r="K13" s="16"/>
    </row>
    <row r="14" spans="2:13" x14ac:dyDescent="0.15">
      <c r="B14" s="262" t="s">
        <v>0</v>
      </c>
      <c r="C14" s="262"/>
      <c r="D14" s="262"/>
      <c r="E14" s="262"/>
      <c r="F14" s="262"/>
      <c r="G14" s="262"/>
      <c r="H14" s="262"/>
      <c r="I14" s="262"/>
      <c r="J14" s="262"/>
      <c r="K14" s="262"/>
    </row>
    <row r="15" spans="2:13" x14ac:dyDescent="0.15">
      <c r="B15" s="11" t="s">
        <v>49</v>
      </c>
      <c r="C15" s="11">
        <f>SUM(G11:K11)</f>
        <v>1844848.4204141377</v>
      </c>
      <c r="D15" s="11" t="s">
        <v>284</v>
      </c>
      <c r="E15" s="21">
        <f>C15/C$18</f>
        <v>0.3029445320692889</v>
      </c>
      <c r="G15" s="42"/>
      <c r="H15" s="16"/>
      <c r="I15" s="16"/>
      <c r="J15" s="16"/>
      <c r="K15" s="16"/>
    </row>
    <row r="16" spans="2:13" x14ac:dyDescent="0.15">
      <c r="B16" s="11" t="s">
        <v>50</v>
      </c>
      <c r="C16" s="11">
        <f>K8*(1+C5)/(C4-C5)</f>
        <v>6546365.4377642106</v>
      </c>
      <c r="D16" s="11" t="s">
        <v>284</v>
      </c>
      <c r="E16" s="21"/>
    </row>
    <row r="17" spans="2:11" x14ac:dyDescent="0.15">
      <c r="B17" s="11" t="s">
        <v>51</v>
      </c>
      <c r="C17" s="11">
        <f>C16*K10</f>
        <v>4244875.0276796129</v>
      </c>
      <c r="D17" s="11" t="s">
        <v>284</v>
      </c>
      <c r="E17" s="21">
        <f>C17/C$18</f>
        <v>0.69705546793071116</v>
      </c>
    </row>
    <row r="18" spans="2:11" x14ac:dyDescent="0.15">
      <c r="B18" s="43" t="s">
        <v>52</v>
      </c>
      <c r="C18" s="43">
        <f>C17+C15</f>
        <v>6089723.4480937505</v>
      </c>
      <c r="D18" s="11" t="s">
        <v>284</v>
      </c>
    </row>
    <row r="19" spans="2:11" x14ac:dyDescent="0.15">
      <c r="B19" s="11" t="s">
        <v>296</v>
      </c>
      <c r="C19" s="11">
        <f>-'P&amp;L and BS'!E37</f>
        <v>-319290</v>
      </c>
    </row>
    <row r="20" spans="2:11" x14ac:dyDescent="0.15">
      <c r="B20" s="11" t="s">
        <v>53</v>
      </c>
      <c r="C20" s="11">
        <f>'P&amp;L and BS'!E32</f>
        <v>216642</v>
      </c>
    </row>
    <row r="21" spans="2:11" x14ac:dyDescent="0.15">
      <c r="B21" s="43" t="s">
        <v>54</v>
      </c>
      <c r="C21" s="43">
        <f>SUM(C18:C20)</f>
        <v>5987075.4480937505</v>
      </c>
      <c r="D21" s="11" t="s">
        <v>284</v>
      </c>
      <c r="G21" s="44">
        <f>C18</f>
        <v>6089723.4480937505</v>
      </c>
      <c r="H21" s="220">
        <v>0.08</v>
      </c>
      <c r="I21" s="220">
        <v>8.5000000000000006E-2</v>
      </c>
      <c r="J21" s="221">
        <v>9.0503509999999995E-2</v>
      </c>
      <c r="K21" s="221">
        <v>9.5000000000000001E-2</v>
      </c>
    </row>
    <row r="22" spans="2:11" x14ac:dyDescent="0.15">
      <c r="C22" s="11">
        <f>C21/3.75</f>
        <v>1596553.452825</v>
      </c>
      <c r="D22" s="11" t="s">
        <v>295</v>
      </c>
      <c r="G22" s="219">
        <v>5.0000000000000001E-3</v>
      </c>
      <c r="H22" s="16">
        <f t="dataTable" ref="H22:K25" dt2D="1" dtr="1" r1="C4" r2="C5"/>
        <v>6337415.6596906576</v>
      </c>
      <c r="I22" s="16">
        <v>5939997.1457695533</v>
      </c>
      <c r="J22" s="222">
        <v>5556336.8961884249</v>
      </c>
      <c r="K22" s="16">
        <v>5277737.4266687036</v>
      </c>
    </row>
    <row r="23" spans="2:11" x14ac:dyDescent="0.15">
      <c r="C23" s="61">
        <f>C22/'Comps Model'!E8</f>
        <v>6.674833616894519</v>
      </c>
      <c r="D23" s="11" t="s">
        <v>393</v>
      </c>
      <c r="G23" s="219">
        <v>0.01</v>
      </c>
      <c r="H23" s="16">
        <v>6678307.822256933</v>
      </c>
      <c r="I23" s="16">
        <v>6232817.4171101227</v>
      </c>
      <c r="J23" s="222">
        <v>5806466.0484358538</v>
      </c>
      <c r="K23" s="16">
        <v>5499125.0968966968</v>
      </c>
    </row>
    <row r="24" spans="2:11" x14ac:dyDescent="0.15">
      <c r="G24" s="219">
        <v>1.4999999999999999E-2</v>
      </c>
      <c r="H24" s="16">
        <v>7071644.9329103287</v>
      </c>
      <c r="I24" s="16">
        <v>6567469.1557850586</v>
      </c>
      <c r="J24" s="222">
        <v>6089723.3495928384</v>
      </c>
      <c r="K24" s="16">
        <v>5748186.225903186</v>
      </c>
    </row>
    <row r="25" spans="2:11" x14ac:dyDescent="0.15">
      <c r="G25" s="219">
        <v>0.02</v>
      </c>
      <c r="H25" s="16">
        <v>7530538.2286726246</v>
      </c>
      <c r="I25" s="16">
        <v>6953605.7773330631</v>
      </c>
      <c r="J25" s="16">
        <v>6413156.9910706095</v>
      </c>
      <c r="K25" s="16">
        <v>6030455.5054438757</v>
      </c>
    </row>
    <row r="28" spans="2:11" x14ac:dyDescent="0.15">
      <c r="H28" s="82"/>
    </row>
    <row r="29" spans="2:11" x14ac:dyDescent="0.15">
      <c r="G29" s="44"/>
    </row>
  </sheetData>
  <mergeCells count="1">
    <mergeCell ref="B14:K14"/>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B273E-DAF6-124D-9E19-817234129F28}">
  <dimension ref="B1:P9"/>
  <sheetViews>
    <sheetView zoomScale="125" workbookViewId="0">
      <selection activeCell="P8" sqref="P8"/>
    </sheetView>
  </sheetViews>
  <sheetFormatPr baseColWidth="10" defaultColWidth="9.1640625" defaultRowHeight="12" x14ac:dyDescent="0.15"/>
  <cols>
    <col min="1" max="1" width="2" style="2" customWidth="1"/>
    <col min="2" max="2" width="19.1640625" style="2" bestFit="1" customWidth="1"/>
    <col min="3" max="4" width="11.33203125" style="2" bestFit="1" customWidth="1"/>
    <col min="5" max="6" width="9.1640625" style="2"/>
    <col min="7" max="7" width="19.1640625" style="2" bestFit="1" customWidth="1"/>
    <col min="8" max="8" width="10.33203125" style="2" bestFit="1" customWidth="1"/>
    <col min="9" max="12" width="9.1640625" style="2"/>
    <col min="13" max="13" width="19.1640625" style="2" bestFit="1" customWidth="1"/>
    <col min="14" max="14" width="10.5" style="2" bestFit="1" customWidth="1"/>
    <col min="15" max="16384" width="9.1640625" style="2"/>
  </cols>
  <sheetData>
    <row r="1" spans="2:16" ht="16" x14ac:dyDescent="0.2">
      <c r="B1" s="1" t="s">
        <v>11</v>
      </c>
    </row>
    <row r="2" spans="2:16" x14ac:dyDescent="0.15">
      <c r="B2" s="35" t="s">
        <v>303</v>
      </c>
    </row>
    <row r="4" spans="2:16" ht="13" thickBot="1" x14ac:dyDescent="0.2">
      <c r="B4" s="58" t="s">
        <v>61</v>
      </c>
      <c r="C4" s="58" t="s">
        <v>286</v>
      </c>
      <c r="G4" s="58" t="s">
        <v>62</v>
      </c>
      <c r="H4" s="58" t="s">
        <v>285</v>
      </c>
      <c r="M4" s="58" t="s">
        <v>63</v>
      </c>
      <c r="N4" s="58" t="s">
        <v>287</v>
      </c>
    </row>
    <row r="5" spans="2:16" x14ac:dyDescent="0.15">
      <c r="B5" s="2" t="s">
        <v>301</v>
      </c>
      <c r="C5" s="11">
        <v>6089723.4480937505</v>
      </c>
      <c r="G5" s="2" t="s">
        <v>301</v>
      </c>
      <c r="H5" s="11">
        <v>4578891.3286808189</v>
      </c>
      <c r="M5" s="2" t="s">
        <v>301</v>
      </c>
      <c r="N5" s="152">
        <v>3078549.1245131195</v>
      </c>
    </row>
    <row r="6" spans="2:16" x14ac:dyDescent="0.15">
      <c r="B6" s="2" t="s">
        <v>302</v>
      </c>
      <c r="C6" s="211">
        <v>1623926.2528250001</v>
      </c>
      <c r="D6" s="225"/>
      <c r="G6" s="2" t="s">
        <v>302</v>
      </c>
      <c r="H6" s="11">
        <v>1221037.6876482184</v>
      </c>
      <c r="M6" s="2" t="s">
        <v>302</v>
      </c>
      <c r="N6" s="152">
        <v>820946.43320349848</v>
      </c>
    </row>
    <row r="7" spans="2:16" x14ac:dyDescent="0.15">
      <c r="B7" s="2" t="s">
        <v>404</v>
      </c>
      <c r="C7" s="11">
        <v>1596553.452825</v>
      </c>
      <c r="D7" s="61">
        <v>6.6748336168945199</v>
      </c>
      <c r="E7" s="2" t="s">
        <v>393</v>
      </c>
      <c r="G7" s="2" t="s">
        <v>404</v>
      </c>
      <c r="H7" s="11">
        <v>1193664.8876482183</v>
      </c>
      <c r="I7" s="61">
        <v>4.9904464553209511</v>
      </c>
      <c r="J7" s="2" t="s">
        <v>393</v>
      </c>
      <c r="M7" s="2" t="s">
        <v>404</v>
      </c>
      <c r="N7" s="11">
        <v>793573.63320349855</v>
      </c>
      <c r="O7" s="61">
        <v>3.3177542255257269</v>
      </c>
      <c r="P7" s="2" t="s">
        <v>393</v>
      </c>
    </row>
    <row r="8" spans="2:16" x14ac:dyDescent="0.15">
      <c r="B8" s="2" t="s">
        <v>64</v>
      </c>
      <c r="C8" s="21">
        <v>0.3029445320692889</v>
      </c>
      <c r="G8" s="2" t="s">
        <v>64</v>
      </c>
      <c r="H8" s="151">
        <v>0.33944648522554266</v>
      </c>
      <c r="M8" s="2" t="s">
        <v>64</v>
      </c>
      <c r="N8" s="21">
        <v>0.39281876853055459</v>
      </c>
    </row>
    <row r="9" spans="2:16" x14ac:dyDescent="0.15">
      <c r="B9" s="2" t="s">
        <v>65</v>
      </c>
      <c r="C9" s="21">
        <v>0.69705546793071116</v>
      </c>
      <c r="G9" s="2" t="s">
        <v>65</v>
      </c>
      <c r="H9" s="151">
        <v>0.66055351477445734</v>
      </c>
      <c r="M9" s="2" t="s">
        <v>65</v>
      </c>
      <c r="N9" s="21">
        <v>0.60718123146944536</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6D8A1-867E-8547-8418-BB06EB432EF6}">
  <sheetPr>
    <tabColor rgb="FF002060"/>
  </sheetPr>
  <dimension ref="B1:B11"/>
  <sheetViews>
    <sheetView zoomScale="130" zoomScaleNormal="130" workbookViewId="0">
      <selection activeCell="B12" sqref="B12"/>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9" t="s">
        <v>309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07497-4639-2142-AC78-6474CB920FE3}">
  <dimension ref="B1:Y43"/>
  <sheetViews>
    <sheetView tabSelected="1" zoomScale="80" workbookViewId="0">
      <selection activeCell="N28" sqref="N28"/>
    </sheetView>
  </sheetViews>
  <sheetFormatPr baseColWidth="10" defaultColWidth="9.1640625" defaultRowHeight="12" x14ac:dyDescent="0.15"/>
  <cols>
    <col min="1" max="1" width="2" style="2" customWidth="1"/>
    <col min="2" max="2" width="48.1640625" style="2" bestFit="1" customWidth="1"/>
    <col min="3" max="3" width="7.33203125" style="2" bestFit="1" customWidth="1"/>
    <col min="4" max="4" width="8.6640625" style="2" bestFit="1" customWidth="1"/>
    <col min="5" max="5" width="15.6640625" style="2" customWidth="1"/>
    <col min="6" max="6" width="15.5" style="2" bestFit="1" customWidth="1"/>
    <col min="7" max="7" width="14.5" style="2" customWidth="1"/>
    <col min="8" max="8" width="13.33203125" style="2" customWidth="1"/>
    <col min="9" max="9" width="9.1640625" style="2"/>
    <col min="10" max="10" width="11.83203125" style="2" bestFit="1" customWidth="1"/>
    <col min="11" max="11" width="9.6640625" style="2" bestFit="1" customWidth="1"/>
    <col min="12" max="12" width="11.33203125" style="2" bestFit="1" customWidth="1"/>
    <col min="13" max="13" width="9.1640625" style="2"/>
    <col min="14" max="14" width="12" style="2" bestFit="1" customWidth="1"/>
    <col min="15" max="16" width="11.5" style="2" bestFit="1" customWidth="1"/>
    <col min="17" max="16384" width="9.1640625" style="2"/>
  </cols>
  <sheetData>
    <row r="1" spans="2:25" ht="16" x14ac:dyDescent="0.2">
      <c r="B1" s="1"/>
      <c r="M1" s="272" t="s">
        <v>365</v>
      </c>
      <c r="N1" s="272"/>
      <c r="O1" s="272"/>
      <c r="P1" s="272"/>
      <c r="Q1" s="272"/>
      <c r="R1" s="272"/>
    </row>
    <row r="2" spans="2:25" x14ac:dyDescent="0.15">
      <c r="M2" s="271" t="s">
        <v>366</v>
      </c>
      <c r="N2" s="271"/>
      <c r="O2" s="271" t="s">
        <v>367</v>
      </c>
      <c r="P2" s="271"/>
      <c r="Q2" s="271" t="s">
        <v>375</v>
      </c>
      <c r="R2" s="271"/>
    </row>
    <row r="3" spans="2:25" ht="26" x14ac:dyDescent="0.3">
      <c r="B3" s="155" t="s">
        <v>310</v>
      </c>
      <c r="C3" s="197"/>
      <c r="D3" s="197"/>
      <c r="E3" s="273" t="s">
        <v>364</v>
      </c>
      <c r="F3" s="273"/>
      <c r="G3" s="273"/>
      <c r="H3" s="156"/>
      <c r="I3" s="156"/>
      <c r="J3" s="156"/>
      <c r="K3" s="156"/>
    </row>
    <row r="4" spans="2:25" ht="16" x14ac:dyDescent="0.2">
      <c r="B4" s="266" t="s">
        <v>377</v>
      </c>
      <c r="C4" s="266"/>
      <c r="D4" s="266"/>
      <c r="E4" s="266"/>
      <c r="F4" s="274" t="s">
        <v>303</v>
      </c>
      <c r="G4" s="274"/>
      <c r="H4" s="210" t="s">
        <v>376</v>
      </c>
      <c r="I4" s="45"/>
      <c r="J4" s="45"/>
      <c r="K4" s="45"/>
      <c r="R4" s="201"/>
    </row>
    <row r="5" spans="2:25" ht="16" customHeight="1" x14ac:dyDescent="0.2">
      <c r="B5" s="168"/>
      <c r="C5" s="168"/>
      <c r="D5" s="267" t="s">
        <v>368</v>
      </c>
      <c r="E5" s="267"/>
      <c r="F5" s="267"/>
      <c r="G5" s="267"/>
      <c r="H5" s="267"/>
      <c r="I5" s="168"/>
      <c r="J5" s="267" t="s">
        <v>369</v>
      </c>
      <c r="K5" s="267"/>
      <c r="L5" s="267"/>
      <c r="M5" s="168"/>
      <c r="N5" s="267" t="s">
        <v>313</v>
      </c>
      <c r="O5" s="267"/>
      <c r="P5" s="267"/>
      <c r="Q5" s="167"/>
      <c r="R5" s="167"/>
      <c r="S5" s="167"/>
      <c r="T5" s="167"/>
      <c r="U5" s="167"/>
      <c r="V5" s="167"/>
      <c r="W5" s="167"/>
      <c r="X5" s="167"/>
      <c r="Y5" s="167"/>
    </row>
    <row r="6" spans="2:25" ht="51" x14ac:dyDescent="0.2">
      <c r="B6" s="170" t="s">
        <v>324</v>
      </c>
      <c r="C6" s="170" t="s">
        <v>311</v>
      </c>
      <c r="D6" s="169" t="s">
        <v>371</v>
      </c>
      <c r="E6" s="169" t="s">
        <v>373</v>
      </c>
      <c r="F6" s="169" t="s">
        <v>370</v>
      </c>
      <c r="G6" s="169" t="s">
        <v>372</v>
      </c>
      <c r="H6" s="169" t="s">
        <v>374</v>
      </c>
      <c r="I6" s="170"/>
      <c r="J6" s="170" t="s">
        <v>66</v>
      </c>
      <c r="K6" s="170" t="s">
        <v>31</v>
      </c>
      <c r="L6" s="170" t="s">
        <v>67</v>
      </c>
      <c r="M6" s="170"/>
      <c r="N6" s="170" t="s">
        <v>327</v>
      </c>
      <c r="O6" s="170" t="s">
        <v>328</v>
      </c>
      <c r="P6" s="170" t="s">
        <v>329</v>
      </c>
      <c r="Q6" s="167"/>
      <c r="R6" s="167"/>
      <c r="S6" s="16"/>
      <c r="T6" s="167"/>
      <c r="U6" s="167"/>
      <c r="V6" s="167"/>
      <c r="W6" s="167"/>
      <c r="X6" s="167"/>
      <c r="Y6" s="167"/>
    </row>
    <row r="7" spans="2:25" ht="16" customHeight="1" x14ac:dyDescent="0.2">
      <c r="B7" s="198"/>
      <c r="C7" s="198"/>
      <c r="D7" s="199"/>
      <c r="E7" s="199"/>
      <c r="F7" s="199"/>
      <c r="G7" s="199"/>
      <c r="H7" s="199"/>
      <c r="I7" s="200"/>
      <c r="J7" s="200"/>
      <c r="K7" s="200"/>
      <c r="L7" s="200"/>
      <c r="M7" s="200"/>
      <c r="N7" s="200"/>
      <c r="O7" s="200"/>
      <c r="P7" s="200"/>
      <c r="Q7" s="167"/>
      <c r="R7" s="167"/>
      <c r="S7" s="158"/>
      <c r="T7" s="167"/>
      <c r="U7" s="167"/>
      <c r="V7" s="167"/>
      <c r="W7" s="167"/>
      <c r="X7" s="167"/>
      <c r="Y7" s="167"/>
    </row>
    <row r="8" spans="2:25" ht="16" customHeight="1" x14ac:dyDescent="0.2">
      <c r="B8" s="171" t="s">
        <v>363</v>
      </c>
      <c r="C8" s="172" t="s">
        <v>392</v>
      </c>
      <c r="D8" s="173">
        <f>24.82/3.75</f>
        <v>6.6186666666666669</v>
      </c>
      <c r="E8" s="174">
        <v>239190</v>
      </c>
      <c r="F8" s="175">
        <f>D8*E8</f>
        <v>1583118.8800000001</v>
      </c>
      <c r="G8" s="174">
        <f>1396.144/3.75</f>
        <v>372.30506666666668</v>
      </c>
      <c r="H8" s="175">
        <f>SUM(F8:G8)</f>
        <v>1583491.1850666667</v>
      </c>
      <c r="I8" s="174"/>
      <c r="J8" s="174">
        <f>1801674/3.75</f>
        <v>480446.4</v>
      </c>
      <c r="K8" s="174">
        <f>1351910/3.75</f>
        <v>360509.33333333331</v>
      </c>
      <c r="L8" s="174">
        <f>393891/3.75</f>
        <v>105037.6</v>
      </c>
      <c r="M8" s="176"/>
      <c r="N8" s="205">
        <f>$H8/J8</f>
        <v>3.2958748053199414</v>
      </c>
      <c r="O8" s="205">
        <f>$H8/K8</f>
        <v>4.3923722318793414</v>
      </c>
      <c r="P8" s="205">
        <f>F8/L8</f>
        <v>15.071925481922664</v>
      </c>
      <c r="Q8" s="167"/>
      <c r="R8" s="167"/>
      <c r="S8" s="204"/>
      <c r="T8" s="167"/>
      <c r="U8" s="167"/>
      <c r="V8" s="167"/>
      <c r="W8" s="167"/>
      <c r="X8" s="167"/>
      <c r="Y8" s="167"/>
    </row>
    <row r="9" spans="2:25" ht="16" customHeight="1" x14ac:dyDescent="0.2">
      <c r="B9" t="s">
        <v>349</v>
      </c>
      <c r="C9" s="177" t="s">
        <v>348</v>
      </c>
      <c r="D9" s="178">
        <v>114.7</v>
      </c>
      <c r="E9" s="179">
        <v>4310</v>
      </c>
      <c r="F9" s="180">
        <f>D9*E9</f>
        <v>494357</v>
      </c>
      <c r="G9" s="179">
        <v>6196</v>
      </c>
      <c r="H9" s="180">
        <f>SUM(F9:G9)</f>
        <v>500553</v>
      </c>
      <c r="I9" s="179"/>
      <c r="J9" s="179">
        <v>339247</v>
      </c>
      <c r="K9" s="179">
        <v>73311</v>
      </c>
      <c r="L9" s="179">
        <v>33680</v>
      </c>
      <c r="M9" s="181"/>
      <c r="N9" s="182">
        <f>$H9/J9</f>
        <v>1.4754824655781775</v>
      </c>
      <c r="O9" s="182">
        <f>$H9/K9</f>
        <v>6.8278021033678442</v>
      </c>
      <c r="P9" s="182">
        <f>F9/L9</f>
        <v>14.678058194774346</v>
      </c>
      <c r="Q9" s="167"/>
      <c r="R9" s="167"/>
      <c r="S9" s="167"/>
      <c r="T9" s="167"/>
      <c r="U9" s="167"/>
      <c r="V9" s="167"/>
      <c r="W9" s="167"/>
      <c r="X9" s="167"/>
      <c r="Y9" s="167"/>
    </row>
    <row r="10" spans="2:25" ht="16" customHeight="1" x14ac:dyDescent="0.2">
      <c r="B10" t="s">
        <v>351</v>
      </c>
      <c r="C10" s="177" t="s">
        <v>350</v>
      </c>
      <c r="D10" s="178">
        <v>149.55000000000001</v>
      </c>
      <c r="E10" s="179">
        <v>1744.6279999999999</v>
      </c>
      <c r="F10" s="180">
        <f t="shared" ref="F10:F16" si="0">D10*E10</f>
        <v>260909.11740000002</v>
      </c>
      <c r="G10" s="179">
        <v>17156</v>
      </c>
      <c r="H10" s="180">
        <f t="shared" ref="H10:H16" si="1">SUM(F10:G10)</f>
        <v>278065.11739999999</v>
      </c>
      <c r="I10" s="179"/>
      <c r="J10" s="179">
        <v>193414</v>
      </c>
      <c r="K10" s="179">
        <v>44725</v>
      </c>
      <c r="L10" s="179">
        <v>17661</v>
      </c>
      <c r="M10" s="181"/>
      <c r="N10" s="182">
        <f t="shared" ref="N10:O16" si="2">$H10/J10</f>
        <v>1.4376679940438644</v>
      </c>
      <c r="O10" s="182">
        <f t="shared" si="2"/>
        <v>6.2172189468977077</v>
      </c>
      <c r="P10" s="182">
        <f t="shared" ref="P10:P13" si="3">F10/L10</f>
        <v>14.773179174452183</v>
      </c>
      <c r="Q10" s="167"/>
      <c r="R10" s="167"/>
      <c r="S10" s="167"/>
      <c r="T10" s="167"/>
      <c r="U10" s="167"/>
      <c r="V10" s="167"/>
      <c r="W10" s="167"/>
      <c r="X10" s="167"/>
      <c r="Y10" s="167"/>
    </row>
    <row r="11" spans="2:25" ht="16" customHeight="1" x14ac:dyDescent="0.2">
      <c r="B11" t="s">
        <v>352</v>
      </c>
      <c r="C11" s="177" t="s">
        <v>353</v>
      </c>
      <c r="D11" s="178">
        <v>72.400000000000006</v>
      </c>
      <c r="E11" s="179">
        <v>3074.2</v>
      </c>
      <c r="F11" s="180">
        <f t="shared" si="0"/>
        <v>222572.08000000002</v>
      </c>
      <c r="G11" s="179">
        <v>10540</v>
      </c>
      <c r="H11" s="180">
        <f t="shared" si="1"/>
        <v>233112.08000000002</v>
      </c>
      <c r="I11" s="179"/>
      <c r="J11" s="179">
        <v>284312</v>
      </c>
      <c r="K11" s="179">
        <v>57483</v>
      </c>
      <c r="L11" s="179">
        <v>16094</v>
      </c>
      <c r="M11" s="181"/>
      <c r="N11" s="182">
        <f>$H11/J11</f>
        <v>0.81991642983764323</v>
      </c>
      <c r="O11" s="182">
        <f t="shared" si="2"/>
        <v>4.0553220952281546</v>
      </c>
      <c r="P11" s="182">
        <f t="shared" si="3"/>
        <v>13.829506648440413</v>
      </c>
      <c r="Q11" s="167"/>
      <c r="R11" s="167"/>
      <c r="S11" s="167"/>
      <c r="T11" s="167"/>
      <c r="U11" s="167"/>
      <c r="V11" s="167"/>
      <c r="W11" s="167"/>
      <c r="X11" s="167"/>
      <c r="Y11" s="167"/>
    </row>
    <row r="12" spans="2:25" ht="16" customHeight="1" x14ac:dyDescent="0.2">
      <c r="B12" t="s">
        <v>354</v>
      </c>
      <c r="C12" s="177" t="s">
        <v>355</v>
      </c>
      <c r="D12" s="178">
        <v>31.25</v>
      </c>
      <c r="E12" s="179">
        <v>2629.7159999999999</v>
      </c>
      <c r="F12" s="180">
        <f t="shared" si="0"/>
        <v>82178.625</v>
      </c>
      <c r="G12" s="179">
        <v>25187</v>
      </c>
      <c r="H12" s="180">
        <f t="shared" si="1"/>
        <v>107365.625</v>
      </c>
      <c r="I12" s="179"/>
      <c r="J12" s="179">
        <v>189185</v>
      </c>
      <c r="K12" s="179">
        <v>27983</v>
      </c>
      <c r="L12" s="179">
        <v>381</v>
      </c>
      <c r="M12" s="181"/>
      <c r="N12" s="182">
        <f t="shared" si="2"/>
        <v>0.5675165842957951</v>
      </c>
      <c r="O12" s="182">
        <f t="shared" si="2"/>
        <v>3.8368161026337417</v>
      </c>
      <c r="P12" s="182">
        <f>F12/L12</f>
        <v>215.69192913385828</v>
      </c>
      <c r="Q12" s="167"/>
      <c r="R12" s="167"/>
      <c r="S12" s="167"/>
      <c r="T12" s="167"/>
      <c r="U12" s="167"/>
      <c r="V12" s="167"/>
      <c r="W12" s="167"/>
      <c r="X12" s="167"/>
      <c r="Y12" s="167"/>
    </row>
    <row r="13" spans="2:25" ht="16" customHeight="1" x14ac:dyDescent="0.2">
      <c r="B13" t="s">
        <v>356</v>
      </c>
      <c r="C13" s="177" t="s">
        <v>357</v>
      </c>
      <c r="D13" s="178">
        <v>62.59</v>
      </c>
      <c r="E13" s="179">
        <v>2300</v>
      </c>
      <c r="F13" s="180">
        <f t="shared" si="0"/>
        <v>143957</v>
      </c>
      <c r="G13" s="179">
        <v>25109</v>
      </c>
      <c r="H13" s="180">
        <f t="shared" si="1"/>
        <v>169066</v>
      </c>
      <c r="I13" s="179"/>
      <c r="J13" s="179">
        <v>195610</v>
      </c>
      <c r="K13" s="179">
        <v>42277</v>
      </c>
      <c r="L13" s="179">
        <v>15758</v>
      </c>
      <c r="M13" s="181"/>
      <c r="N13" s="182">
        <f t="shared" si="2"/>
        <v>0.86430141608302236</v>
      </c>
      <c r="O13" s="182">
        <f t="shared" si="2"/>
        <v>3.9990065520259241</v>
      </c>
      <c r="P13" s="182">
        <f t="shared" si="3"/>
        <v>9.1354867368955457</v>
      </c>
      <c r="Q13" s="167"/>
      <c r="R13" s="167"/>
      <c r="S13" s="167"/>
      <c r="T13" s="167"/>
      <c r="U13" s="167"/>
      <c r="V13" s="167"/>
      <c r="W13" s="167"/>
      <c r="X13" s="167"/>
      <c r="Y13" s="167"/>
    </row>
    <row r="14" spans="2:25" ht="16" customHeight="1" x14ac:dyDescent="0.2">
      <c r="B14" t="s">
        <v>400</v>
      </c>
      <c r="C14" s="177" t="s">
        <v>358</v>
      </c>
      <c r="D14" s="178">
        <v>13.07</v>
      </c>
      <c r="E14" s="179">
        <v>6444.366</v>
      </c>
      <c r="F14" s="180">
        <f t="shared" si="0"/>
        <v>84227.863620000004</v>
      </c>
      <c r="G14" s="179">
        <v>19891</v>
      </c>
      <c r="H14" s="180">
        <f t="shared" si="1"/>
        <v>104118.86362</v>
      </c>
      <c r="I14" s="179"/>
      <c r="J14" s="179">
        <v>91416</v>
      </c>
      <c r="K14" s="179">
        <v>27462</v>
      </c>
      <c r="L14" s="179">
        <v>7528</v>
      </c>
      <c r="M14" s="181"/>
      <c r="N14" s="182">
        <f t="shared" si="2"/>
        <v>1.1389566773868907</v>
      </c>
      <c r="O14" s="182">
        <f t="shared" ref="O14:O16" si="4">$H14/K14</f>
        <v>3.7913794923894839</v>
      </c>
      <c r="P14" s="182">
        <f t="shared" ref="P14:P16" si="5">F14/L14</f>
        <v>11.188611001594049</v>
      </c>
      <c r="Q14" s="167"/>
      <c r="R14" s="167"/>
      <c r="S14" s="167"/>
      <c r="T14" s="167"/>
      <c r="U14" s="167"/>
      <c r="V14" s="167"/>
      <c r="W14" s="167"/>
      <c r="X14" s="167"/>
      <c r="Y14" s="167"/>
    </row>
    <row r="15" spans="2:25" ht="16" customHeight="1" x14ac:dyDescent="0.2">
      <c r="B15" t="s">
        <v>359</v>
      </c>
      <c r="C15" s="177" t="s">
        <v>360</v>
      </c>
      <c r="D15" s="178">
        <f>6.71/7.3</f>
        <v>0.91917808219178088</v>
      </c>
      <c r="E15" s="179">
        <v>180026.92300000001</v>
      </c>
      <c r="F15" s="180">
        <f t="shared" si="0"/>
        <v>165476.80182602743</v>
      </c>
      <c r="G15" s="179">
        <f>64378/7.3</f>
        <v>8818.9041095890407</v>
      </c>
      <c r="H15" s="180">
        <f t="shared" si="1"/>
        <v>174295.70593561645</v>
      </c>
      <c r="I15" s="179"/>
      <c r="J15" s="179">
        <f>2937981/7.3</f>
        <v>402463.15068493149</v>
      </c>
      <c r="K15" s="179">
        <f>491817/7.3</f>
        <v>67372.191780821915</v>
      </c>
      <c r="L15" s="179">
        <f>164676/7.3</f>
        <v>22558.356164383564</v>
      </c>
      <c r="M15" s="181"/>
      <c r="N15" s="182">
        <f t="shared" si="2"/>
        <v>0.4330724580349567</v>
      </c>
      <c r="O15" s="182">
        <f t="shared" si="4"/>
        <v>2.5870570828783879</v>
      </c>
      <c r="P15" s="182">
        <f t="shared" si="5"/>
        <v>7.3354991214870422</v>
      </c>
      <c r="Q15" s="167"/>
      <c r="R15" s="167"/>
      <c r="S15" s="167"/>
      <c r="T15" s="167"/>
      <c r="U15" s="167"/>
      <c r="V15" s="167"/>
      <c r="W15" s="167"/>
      <c r="X15" s="167"/>
      <c r="Y15" s="167"/>
    </row>
    <row r="16" spans="2:25" ht="16" customHeight="1" x14ac:dyDescent="0.2">
      <c r="B16" t="s">
        <v>361</v>
      </c>
      <c r="C16" s="177" t="s">
        <v>362</v>
      </c>
      <c r="D16" s="178">
        <v>32.93</v>
      </c>
      <c r="E16" s="179">
        <v>1531.35</v>
      </c>
      <c r="F16" s="180">
        <f t="shared" si="0"/>
        <v>50427.355499999998</v>
      </c>
      <c r="G16" s="179">
        <v>20383</v>
      </c>
      <c r="H16" s="180">
        <f t="shared" si="1"/>
        <v>70810.355500000005</v>
      </c>
      <c r="I16" s="179"/>
      <c r="J16" s="179">
        <v>88797</v>
      </c>
      <c r="K16" s="179">
        <v>23069</v>
      </c>
      <c r="L16" s="179">
        <v>2624</v>
      </c>
      <c r="M16" s="181"/>
      <c r="N16" s="182">
        <f t="shared" si="2"/>
        <v>0.79744085385767538</v>
      </c>
      <c r="O16" s="182">
        <f t="shared" si="4"/>
        <v>3.0695026008929736</v>
      </c>
      <c r="P16" s="182">
        <f t="shared" si="5"/>
        <v>19.217742187500001</v>
      </c>
      <c r="Q16" s="167"/>
      <c r="R16" s="167"/>
      <c r="S16" s="167"/>
      <c r="T16" s="167"/>
      <c r="U16" s="167"/>
      <c r="V16" s="167"/>
      <c r="W16" s="167"/>
      <c r="X16" s="167"/>
      <c r="Y16" s="167"/>
    </row>
    <row r="17" spans="2:25" ht="16" customHeight="1" x14ac:dyDescent="0.2">
      <c r="B17"/>
      <c r="C17"/>
      <c r="D17"/>
      <c r="E17" s="183"/>
      <c r="F17"/>
      <c r="G17"/>
      <c r="H17"/>
      <c r="I17"/>
      <c r="J17"/>
      <c r="K17"/>
      <c r="L17"/>
      <c r="M17"/>
      <c r="N17"/>
      <c r="O17"/>
      <c r="P17"/>
      <c r="Q17" s="167"/>
      <c r="R17" s="167"/>
      <c r="S17" s="167"/>
      <c r="T17" s="167"/>
      <c r="U17" s="167"/>
      <c r="V17" s="167"/>
      <c r="W17" s="167"/>
      <c r="X17" s="167"/>
      <c r="Y17" s="167"/>
    </row>
    <row r="18" spans="2:25" ht="16" customHeight="1" x14ac:dyDescent="0.2">
      <c r="B18" s="184" t="s">
        <v>330</v>
      </c>
      <c r="C18" s="184"/>
      <c r="D18" s="184"/>
      <c r="E18" s="184"/>
      <c r="F18" s="184"/>
      <c r="G18" s="184"/>
      <c r="H18" s="184"/>
      <c r="I18" s="184"/>
      <c r="J18" s="184"/>
      <c r="K18" s="184"/>
      <c r="L18" s="184"/>
      <c r="M18" s="184"/>
      <c r="N18" s="185">
        <f>MAX(N9:N16)</f>
        <v>1.4754824655781775</v>
      </c>
      <c r="O18" s="185">
        <f>MAX(O9:O16)</f>
        <v>6.8278021033678442</v>
      </c>
      <c r="P18" s="185">
        <f>MAX(P9:P16)</f>
        <v>215.69192913385828</v>
      </c>
      <c r="Q18" s="167"/>
      <c r="R18" s="167"/>
      <c r="S18" s="167"/>
      <c r="T18" s="167"/>
      <c r="U18" s="167"/>
      <c r="V18" s="167"/>
      <c r="W18" s="167"/>
      <c r="X18" s="167"/>
      <c r="Y18" s="167"/>
    </row>
    <row r="19" spans="2:25" ht="16" customHeight="1" x14ac:dyDescent="0.2">
      <c r="B19" s="186" t="s">
        <v>331</v>
      </c>
      <c r="C19" s="187"/>
      <c r="D19" s="187"/>
      <c r="E19" s="187"/>
      <c r="F19" s="187"/>
      <c r="G19" s="187"/>
      <c r="H19" s="187"/>
      <c r="I19" s="187"/>
      <c r="J19" s="187"/>
      <c r="K19" s="187"/>
      <c r="L19" s="187"/>
      <c r="M19" s="187"/>
      <c r="N19" s="188">
        <f>QUARTILE(N9:N16,3)</f>
        <v>1.213634506551134</v>
      </c>
      <c r="O19" s="188">
        <f>QUARTILE(O9:O16,3)</f>
        <v>4.5957963081455429</v>
      </c>
      <c r="P19" s="188">
        <f>QUARTILE(P9:P16,3)</f>
        <v>15.884319927714138</v>
      </c>
      <c r="Q19" s="167"/>
      <c r="R19" s="167"/>
      <c r="S19" s="167"/>
      <c r="T19" s="167"/>
      <c r="U19" s="167"/>
      <c r="V19" s="167"/>
      <c r="W19" s="167"/>
      <c r="X19" s="167"/>
      <c r="Y19" s="167"/>
    </row>
    <row r="20" spans="2:25" ht="16" customHeight="1" x14ac:dyDescent="0.2">
      <c r="B20" s="187" t="s">
        <v>332</v>
      </c>
      <c r="C20" s="187"/>
      <c r="D20" s="187"/>
      <c r="E20" s="187"/>
      <c r="F20" s="187"/>
      <c r="G20" s="187"/>
      <c r="H20" s="187"/>
      <c r="I20" s="187"/>
      <c r="J20" s="187"/>
      <c r="K20" s="187"/>
      <c r="L20" s="187"/>
      <c r="M20" s="187"/>
      <c r="N20" s="189">
        <f>AVERAGE(N9:N16)</f>
        <v>0.94179435988975313</v>
      </c>
      <c r="O20" s="189">
        <f>AVERAGE(O9:O16)</f>
        <v>4.2980131220392774</v>
      </c>
      <c r="P20" s="189">
        <f>AVERAGE(P9:P16)</f>
        <v>38.231251524875226</v>
      </c>
      <c r="Q20" s="167"/>
      <c r="R20" s="167"/>
      <c r="S20" s="167"/>
      <c r="T20" s="167"/>
      <c r="U20" s="167"/>
      <c r="V20" s="167"/>
      <c r="W20" s="167"/>
      <c r="X20" s="167"/>
      <c r="Y20" s="167"/>
    </row>
    <row r="21" spans="2:25" ht="16" customHeight="1" x14ac:dyDescent="0.2">
      <c r="B21" s="187" t="s">
        <v>333</v>
      </c>
      <c r="C21" s="187"/>
      <c r="D21" s="187"/>
      <c r="E21" s="187"/>
      <c r="F21" s="187"/>
      <c r="G21" s="187"/>
      <c r="H21" s="187"/>
      <c r="I21" s="187"/>
      <c r="J21" s="187"/>
      <c r="K21" s="187"/>
      <c r="L21" s="187"/>
      <c r="M21" s="187"/>
      <c r="N21" s="189">
        <f>MEDIAN(N9:N16)</f>
        <v>0.8421089229603328</v>
      </c>
      <c r="O21" s="189">
        <f>MEDIAN(O9:O16)</f>
        <v>3.9179113273298327</v>
      </c>
      <c r="P21" s="189">
        <f>MEDIAN(P9:P16)</f>
        <v>14.253782421607379</v>
      </c>
      <c r="Q21" s="167"/>
      <c r="R21" s="167"/>
      <c r="S21" s="167"/>
      <c r="T21" s="167"/>
      <c r="U21" s="167"/>
      <c r="V21" s="167"/>
      <c r="W21" s="167"/>
      <c r="X21" s="167"/>
      <c r="Y21" s="167"/>
    </row>
    <row r="22" spans="2:25" ht="16" customHeight="1" x14ac:dyDescent="0.2">
      <c r="B22" s="186" t="s">
        <v>334</v>
      </c>
      <c r="C22" s="187"/>
      <c r="D22" s="187"/>
      <c r="E22" s="187"/>
      <c r="F22" s="187"/>
      <c r="G22" s="187"/>
      <c r="H22" s="187"/>
      <c r="I22" s="187"/>
      <c r="J22" s="187"/>
      <c r="K22" s="187"/>
      <c r="L22" s="187"/>
      <c r="M22" s="187"/>
      <c r="N22" s="188">
        <f>QUARTILE(N9:N16,1)</f>
        <v>0.73995978646720528</v>
      </c>
      <c r="O22" s="188">
        <f>QUARTILE(O9:O16,1)</f>
        <v>3.6109102695153563</v>
      </c>
      <c r="P22" s="188">
        <f>QUARTILE(P9:P16,1)</f>
        <v>10.675329935419423</v>
      </c>
      <c r="Q22" s="167"/>
      <c r="R22" s="167"/>
      <c r="S22" s="167"/>
      <c r="T22" s="167"/>
      <c r="U22" s="167"/>
      <c r="V22" s="167"/>
      <c r="W22" s="167"/>
      <c r="X22" s="167"/>
      <c r="Y22" s="167"/>
    </row>
    <row r="23" spans="2:25" ht="16" customHeight="1" x14ac:dyDescent="0.2">
      <c r="B23" s="190" t="s">
        <v>335</v>
      </c>
      <c r="C23" s="190"/>
      <c r="D23" s="190"/>
      <c r="E23" s="190"/>
      <c r="F23" s="190"/>
      <c r="G23" s="190"/>
      <c r="H23" s="190"/>
      <c r="I23" s="190"/>
      <c r="J23" s="190"/>
      <c r="K23" s="190"/>
      <c r="L23" s="190"/>
      <c r="M23" s="190"/>
      <c r="N23" s="191">
        <f>MIN(N9:N16)</f>
        <v>0.4330724580349567</v>
      </c>
      <c r="O23" s="191">
        <f>MIN(O9:O16)</f>
        <v>2.5870570828783879</v>
      </c>
      <c r="P23" s="191">
        <f>MIN(P9:P16)</f>
        <v>7.3354991214870422</v>
      </c>
      <c r="Q23" s="167"/>
      <c r="R23" s="167"/>
      <c r="S23" s="167"/>
      <c r="T23" s="167"/>
      <c r="U23" s="167"/>
      <c r="V23" s="167"/>
      <c r="W23" s="167"/>
      <c r="X23" s="167"/>
      <c r="Y23" s="167"/>
    </row>
    <row r="24" spans="2:25" ht="16" customHeight="1" x14ac:dyDescent="0.2">
      <c r="B24" s="166"/>
      <c r="C24" s="166"/>
      <c r="D24" s="166"/>
      <c r="E24" s="166"/>
      <c r="F24" s="166"/>
      <c r="G24" s="166"/>
      <c r="H24" s="166"/>
      <c r="I24" s="166"/>
      <c r="J24" s="166"/>
      <c r="K24" s="166"/>
      <c r="L24" s="166"/>
      <c r="M24" s="166"/>
      <c r="N24" s="166"/>
      <c r="O24" s="166"/>
      <c r="P24" s="166"/>
      <c r="Q24" s="167"/>
      <c r="R24" s="167"/>
      <c r="S24" s="167"/>
      <c r="T24" s="167"/>
      <c r="U24" s="167"/>
      <c r="V24" s="167"/>
      <c r="W24" s="167"/>
      <c r="X24" s="167"/>
      <c r="Y24" s="167"/>
    </row>
    <row r="25" spans="2:25" ht="16" customHeight="1" x14ac:dyDescent="0.2">
      <c r="B25" s="168" t="s">
        <v>339</v>
      </c>
      <c r="C25" s="192"/>
      <c r="D25" s="192"/>
      <c r="E25" s="192"/>
      <c r="F25" s="192"/>
      <c r="G25" s="192"/>
      <c r="H25" s="192"/>
      <c r="I25" s="192"/>
      <c r="J25" s="192"/>
      <c r="K25" s="192"/>
      <c r="L25" s="192"/>
      <c r="M25" s="192"/>
      <c r="N25" s="170" t="s">
        <v>327</v>
      </c>
      <c r="O25" s="170" t="s">
        <v>328</v>
      </c>
      <c r="P25" s="170" t="s">
        <v>329</v>
      </c>
      <c r="Q25" s="167"/>
      <c r="R25" s="167"/>
      <c r="S25" s="167"/>
      <c r="T25" s="167"/>
      <c r="U25" s="167"/>
      <c r="V25" s="167"/>
      <c r="W25" s="167"/>
      <c r="X25" s="167"/>
      <c r="Y25" s="167"/>
    </row>
    <row r="26" spans="2:25" ht="16" customHeight="1" x14ac:dyDescent="0.2">
      <c r="B26" s="166" t="s">
        <v>336</v>
      </c>
      <c r="C26" s="166"/>
      <c r="D26" s="166"/>
      <c r="E26" s="166"/>
      <c r="F26" s="166"/>
      <c r="G26" s="166"/>
      <c r="H26" s="166"/>
      <c r="I26" s="166"/>
      <c r="J26" s="206"/>
      <c r="K26" s="166"/>
      <c r="L26" s="166"/>
      <c r="M26" s="166"/>
      <c r="N26" s="207">
        <f>N21*J8</f>
        <v>404588.20044416923</v>
      </c>
      <c r="O26" s="207">
        <f>O21*K8</f>
        <v>1412443.6006747931</v>
      </c>
      <c r="P26" s="208">
        <f>P27+P28</f>
        <v>1497555.4015544939</v>
      </c>
      <c r="Q26" s="167"/>
      <c r="R26" s="167"/>
      <c r="S26" s="167"/>
      <c r="T26" s="167"/>
      <c r="U26" s="167"/>
      <c r="V26" s="167"/>
      <c r="W26" s="167"/>
      <c r="X26" s="167"/>
      <c r="Y26" s="167"/>
    </row>
    <row r="27" spans="2:25" ht="16" customHeight="1" x14ac:dyDescent="0.2">
      <c r="B27" s="166" t="s">
        <v>326</v>
      </c>
      <c r="C27" s="166"/>
      <c r="D27" s="166"/>
      <c r="E27" s="166"/>
      <c r="F27" s="166"/>
      <c r="G27" s="209"/>
      <c r="H27" s="166"/>
      <c r="I27" s="166"/>
      <c r="J27" s="206"/>
      <c r="K27" s="166"/>
      <c r="L27" s="166"/>
      <c r="M27" s="166"/>
      <c r="N27" s="207">
        <f>$G$8</f>
        <v>372.30506666666668</v>
      </c>
      <c r="O27" s="207">
        <f>$G$8</f>
        <v>372.30506666666668</v>
      </c>
      <c r="P27" s="207">
        <f>$G$8</f>
        <v>372.30506666666668</v>
      </c>
      <c r="Q27" s="167"/>
      <c r="R27" s="167"/>
      <c r="S27" s="167"/>
      <c r="T27" s="167"/>
      <c r="U27" s="167"/>
      <c r="V27" s="167"/>
      <c r="W27" s="167"/>
      <c r="X27" s="167"/>
      <c r="Y27" s="167"/>
    </row>
    <row r="28" spans="2:25" ht="16" customHeight="1" x14ac:dyDescent="0.2">
      <c r="B28" s="166" t="s">
        <v>337</v>
      </c>
      <c r="C28" s="166"/>
      <c r="D28" s="166"/>
      <c r="E28" s="166"/>
      <c r="F28" s="166"/>
      <c r="G28" s="209"/>
      <c r="H28" s="166"/>
      <c r="I28" s="166"/>
      <c r="J28" s="206"/>
      <c r="K28" s="166"/>
      <c r="L28" s="166"/>
      <c r="M28" s="166"/>
      <c r="N28" s="207">
        <f>N26-N27</f>
        <v>404215.89537750254</v>
      </c>
      <c r="O28" s="207">
        <f>O26-O27</f>
        <v>1412071.2956081266</v>
      </c>
      <c r="P28" s="207">
        <f>P21*L8</f>
        <v>1497183.0964878274</v>
      </c>
      <c r="Q28" s="167"/>
      <c r="R28" s="167"/>
      <c r="S28" s="167"/>
      <c r="T28" s="167"/>
      <c r="U28" s="167"/>
      <c r="V28" s="167"/>
      <c r="W28" s="167"/>
      <c r="X28" s="167"/>
      <c r="Y28" s="167"/>
    </row>
    <row r="29" spans="2:25" ht="16" customHeight="1" x14ac:dyDescent="0.2">
      <c r="B29" s="166" t="s">
        <v>325</v>
      </c>
      <c r="C29" s="166"/>
      <c r="D29" s="166"/>
      <c r="E29" s="166"/>
      <c r="F29" s="166"/>
      <c r="G29" s="209"/>
      <c r="H29" s="166"/>
      <c r="I29" s="166"/>
      <c r="J29" s="166"/>
      <c r="K29" s="166"/>
      <c r="L29" s="166"/>
      <c r="M29" s="166"/>
      <c r="N29" s="207">
        <f>$E$8</f>
        <v>239190</v>
      </c>
      <c r="O29" s="207">
        <f>$E$8</f>
        <v>239190</v>
      </c>
      <c r="P29" s="207">
        <f>$E$8</f>
        <v>239190</v>
      </c>
      <c r="Q29" s="167"/>
      <c r="R29" s="167"/>
      <c r="S29" s="167"/>
      <c r="T29" s="167"/>
      <c r="U29" s="167"/>
      <c r="V29" s="167"/>
      <c r="W29" s="167"/>
      <c r="X29" s="167"/>
      <c r="Y29" s="167"/>
    </row>
    <row r="30" spans="2:25" ht="16" customHeight="1" x14ac:dyDescent="0.2">
      <c r="B30" s="193" t="s">
        <v>338</v>
      </c>
      <c r="C30" s="193"/>
      <c r="D30" s="194"/>
      <c r="E30" s="194"/>
      <c r="F30" s="193"/>
      <c r="G30" s="195"/>
      <c r="H30" s="193"/>
      <c r="I30" s="193"/>
      <c r="J30" s="193"/>
      <c r="K30" s="193"/>
      <c r="L30" s="193"/>
      <c r="M30" s="193"/>
      <c r="N30" s="196">
        <f>N28/N29</f>
        <v>1.6899364328671873</v>
      </c>
      <c r="O30" s="196">
        <f t="shared" ref="O30" si="6">O28/O29</f>
        <v>5.9035548961416717</v>
      </c>
      <c r="P30" s="196">
        <f>P28/P29</f>
        <v>6.2593883376722577</v>
      </c>
      <c r="Q30" s="167"/>
      <c r="R30" s="167"/>
      <c r="S30" s="167"/>
      <c r="T30" s="167"/>
      <c r="U30" s="167"/>
      <c r="V30" s="167"/>
      <c r="W30" s="167"/>
      <c r="X30" s="167"/>
      <c r="Y30" s="167"/>
    </row>
    <row r="31" spans="2:25" ht="16" customHeight="1" x14ac:dyDescent="0.2">
      <c r="B31" s="268" t="s">
        <v>378</v>
      </c>
      <c r="C31" s="269"/>
      <c r="D31" s="269"/>
      <c r="E31" s="269"/>
      <c r="F31" s="269"/>
      <c r="G31" s="269"/>
      <c r="H31" s="269"/>
      <c r="I31" s="269"/>
      <c r="J31" s="269"/>
      <c r="K31" s="269"/>
      <c r="L31" s="269"/>
      <c r="M31" s="269"/>
      <c r="N31" s="269"/>
      <c r="O31" s="269"/>
      <c r="P31" s="269"/>
      <c r="Q31" s="167"/>
      <c r="R31" s="167"/>
      <c r="S31" s="167"/>
      <c r="T31" s="167"/>
      <c r="U31" s="167"/>
      <c r="V31" s="167"/>
      <c r="W31" s="167"/>
      <c r="X31" s="167"/>
      <c r="Y31" s="167"/>
    </row>
    <row r="32" spans="2:25" ht="16" customHeight="1" x14ac:dyDescent="0.2">
      <c r="B32" s="270" t="s">
        <v>405</v>
      </c>
      <c r="C32" s="270"/>
      <c r="D32" s="270"/>
      <c r="E32" s="270"/>
      <c r="F32" s="270"/>
      <c r="G32" s="270"/>
      <c r="H32" s="270"/>
      <c r="I32" s="270"/>
      <c r="J32" s="270"/>
      <c r="K32" s="270"/>
      <c r="L32" s="270"/>
      <c r="M32" s="270"/>
      <c r="N32" s="270"/>
      <c r="O32" s="270"/>
      <c r="P32" s="270"/>
      <c r="Q32" s="167"/>
      <c r="R32" s="167"/>
      <c r="S32" s="167"/>
      <c r="T32" s="167"/>
      <c r="U32" s="167"/>
      <c r="V32" s="167"/>
      <c r="W32" s="167"/>
      <c r="X32" s="167"/>
      <c r="Y32" s="167"/>
    </row>
    <row r="33" spans="2:25" ht="16" customHeight="1" x14ac:dyDescent="0.2">
      <c r="B33" s="270"/>
      <c r="C33" s="270"/>
      <c r="D33" s="270"/>
      <c r="E33" s="270"/>
      <c r="F33" s="270"/>
      <c r="G33" s="270"/>
      <c r="H33" s="270"/>
      <c r="I33" s="270"/>
      <c r="J33" s="270"/>
      <c r="K33" s="270"/>
      <c r="L33" s="270"/>
      <c r="M33" s="270"/>
      <c r="N33" s="270"/>
      <c r="O33" s="270"/>
      <c r="P33" s="270"/>
      <c r="Q33" s="167"/>
      <c r="R33" s="167"/>
      <c r="S33" s="167"/>
      <c r="T33" s="167"/>
      <c r="U33" s="167"/>
      <c r="V33" s="167"/>
      <c r="W33" s="167"/>
      <c r="X33" s="167"/>
      <c r="Y33" s="167"/>
    </row>
    <row r="34" spans="2:25" ht="33" customHeight="1" x14ac:dyDescent="0.2">
      <c r="B34" s="270"/>
      <c r="C34" s="270"/>
      <c r="D34" s="270"/>
      <c r="E34" s="270"/>
      <c r="F34" s="270"/>
      <c r="G34" s="270"/>
      <c r="H34" s="270"/>
      <c r="I34" s="270"/>
      <c r="J34" s="270"/>
      <c r="K34" s="270"/>
      <c r="L34" s="270"/>
      <c r="M34" s="270"/>
      <c r="N34" s="270"/>
      <c r="O34" s="270"/>
      <c r="P34" s="270"/>
      <c r="Q34" s="167"/>
      <c r="R34" s="167"/>
      <c r="S34" s="167"/>
      <c r="T34" s="167"/>
      <c r="U34" s="167"/>
      <c r="V34" s="167"/>
      <c r="W34" s="167"/>
      <c r="X34" s="167"/>
      <c r="Y34" s="167"/>
    </row>
    <row r="35" spans="2:25" ht="16" customHeight="1" x14ac:dyDescent="0.2">
      <c r="H35" s="167"/>
      <c r="I35" s="167"/>
      <c r="J35" s="167"/>
      <c r="K35" s="167"/>
      <c r="L35" s="167"/>
      <c r="M35" s="167"/>
      <c r="N35" s="167"/>
      <c r="O35" s="167"/>
      <c r="P35" s="167"/>
      <c r="Q35" s="167"/>
      <c r="R35" s="167"/>
      <c r="S35" s="167"/>
      <c r="T35" s="167"/>
      <c r="U35" s="167"/>
      <c r="V35" s="167"/>
      <c r="W35" s="167"/>
      <c r="X35" s="167"/>
      <c r="Y35" s="167"/>
    </row>
    <row r="36" spans="2:25" ht="16" customHeight="1" x14ac:dyDescent="0.2">
      <c r="B36" s="265" t="s">
        <v>340</v>
      </c>
      <c r="C36" s="265"/>
      <c r="D36" s="265"/>
      <c r="E36" s="265"/>
      <c r="F36" s="265"/>
      <c r="G36" s="265"/>
      <c r="H36" s="167"/>
      <c r="I36" s="167"/>
      <c r="P36" s="167"/>
      <c r="Q36" s="167"/>
      <c r="R36" s="167"/>
      <c r="S36" s="167"/>
      <c r="T36" s="167"/>
      <c r="U36" s="167"/>
      <c r="V36" s="167"/>
      <c r="W36" s="167"/>
      <c r="X36" s="167"/>
      <c r="Y36" s="167"/>
    </row>
    <row r="37" spans="2:25" ht="16" customHeight="1" x14ac:dyDescent="0.2">
      <c r="B37" s="203" t="s">
        <v>341</v>
      </c>
      <c r="C37" s="264" t="s">
        <v>342</v>
      </c>
      <c r="D37" s="264"/>
      <c r="E37" s="264"/>
      <c r="F37" s="264"/>
      <c r="G37" s="264"/>
      <c r="H37" s="167"/>
      <c r="I37" s="167"/>
      <c r="P37" s="167"/>
      <c r="Q37" s="167"/>
      <c r="R37" s="167"/>
      <c r="S37" s="167"/>
      <c r="T37" s="167"/>
      <c r="U37" s="167"/>
      <c r="V37" s="167"/>
      <c r="W37" s="167"/>
      <c r="X37" s="167"/>
      <c r="Y37" s="167"/>
    </row>
    <row r="38" spans="2:25" ht="16" customHeight="1" x14ac:dyDescent="0.2">
      <c r="B38" s="202" t="s">
        <v>343</v>
      </c>
      <c r="C38" s="263" t="s">
        <v>344</v>
      </c>
      <c r="D38" s="263"/>
      <c r="E38" s="263"/>
      <c r="F38" s="263"/>
      <c r="G38" s="263"/>
      <c r="H38" s="167"/>
      <c r="I38" s="167"/>
      <c r="O38" s="83"/>
      <c r="P38" s="167"/>
      <c r="Q38" s="167"/>
      <c r="R38" s="167"/>
      <c r="S38" s="167"/>
      <c r="T38" s="167"/>
      <c r="U38" s="167"/>
      <c r="V38" s="167"/>
      <c r="W38" s="167"/>
      <c r="X38" s="167"/>
      <c r="Y38" s="167"/>
    </row>
    <row r="39" spans="2:25" ht="16" customHeight="1" x14ac:dyDescent="0.2">
      <c r="B39" s="202" t="s">
        <v>401</v>
      </c>
      <c r="C39" s="263" t="s">
        <v>345</v>
      </c>
      <c r="D39" s="263"/>
      <c r="E39" s="263"/>
      <c r="F39" s="263"/>
      <c r="G39" s="263"/>
      <c r="H39" s="167"/>
      <c r="I39" s="167"/>
      <c r="P39" s="167"/>
      <c r="Q39" s="167"/>
      <c r="R39" s="167"/>
      <c r="S39" s="167"/>
      <c r="T39" s="167"/>
      <c r="U39" s="167"/>
      <c r="V39" s="167"/>
      <c r="W39" s="167"/>
      <c r="X39" s="167"/>
      <c r="Y39" s="167"/>
    </row>
    <row r="40" spans="2:25" ht="16" customHeight="1" x14ac:dyDescent="0.2">
      <c r="B40" s="202" t="s">
        <v>346</v>
      </c>
      <c r="C40" s="263" t="s">
        <v>347</v>
      </c>
      <c r="D40" s="263"/>
      <c r="E40" s="263"/>
      <c r="F40" s="263"/>
      <c r="G40" s="263"/>
      <c r="H40" s="167"/>
      <c r="I40" s="167"/>
      <c r="P40" s="167"/>
      <c r="Q40" s="167"/>
      <c r="R40" s="167"/>
      <c r="S40" s="167"/>
      <c r="T40" s="167"/>
      <c r="U40" s="167"/>
      <c r="V40" s="167"/>
      <c r="W40" s="167"/>
      <c r="X40" s="167"/>
      <c r="Y40" s="167"/>
    </row>
    <row r="41" spans="2:25" ht="16" customHeight="1" x14ac:dyDescent="0.2">
      <c r="H41" s="167"/>
      <c r="I41" s="167"/>
      <c r="J41" s="167"/>
      <c r="K41" s="167"/>
      <c r="L41" s="167"/>
      <c r="M41" s="167"/>
      <c r="N41" s="167"/>
      <c r="O41" s="167"/>
      <c r="P41" s="167"/>
      <c r="Q41" s="167"/>
      <c r="R41" s="167"/>
      <c r="S41" s="167"/>
      <c r="T41" s="167"/>
      <c r="U41" s="167"/>
      <c r="V41" s="167"/>
      <c r="W41" s="167"/>
      <c r="X41" s="167"/>
      <c r="Y41" s="167"/>
    </row>
    <row r="42" spans="2:25" ht="17" customHeight="1" x14ac:dyDescent="0.2">
      <c r="H42" s="167"/>
      <c r="I42" s="167"/>
      <c r="J42" s="167"/>
      <c r="K42" s="167"/>
      <c r="L42" s="167"/>
      <c r="M42" s="167"/>
      <c r="N42" s="167"/>
      <c r="O42" s="167"/>
      <c r="P42" s="167"/>
      <c r="Q42" s="167"/>
      <c r="R42" s="167"/>
      <c r="S42" s="167"/>
      <c r="T42" s="167"/>
      <c r="U42" s="167"/>
      <c r="V42" s="167"/>
      <c r="W42" s="167"/>
      <c r="X42" s="167"/>
      <c r="Y42" s="167"/>
    </row>
    <row r="43" spans="2:25" ht="12" customHeight="1" x14ac:dyDescent="0.2">
      <c r="H43" s="167"/>
      <c r="I43" s="167"/>
      <c r="J43" s="167"/>
      <c r="K43" s="167"/>
      <c r="L43" s="167"/>
      <c r="M43" s="167"/>
      <c r="N43" s="167"/>
      <c r="O43" s="167"/>
      <c r="P43" s="167"/>
      <c r="Q43" s="167"/>
      <c r="R43" s="167"/>
      <c r="S43" s="167"/>
      <c r="T43" s="167"/>
      <c r="U43" s="167"/>
      <c r="V43" s="167"/>
      <c r="W43" s="167"/>
      <c r="X43" s="167"/>
      <c r="Y43" s="167"/>
    </row>
  </sheetData>
  <mergeCells count="17">
    <mergeCell ref="Q2:R2"/>
    <mergeCell ref="M1:R1"/>
    <mergeCell ref="E3:G3"/>
    <mergeCell ref="F4:G4"/>
    <mergeCell ref="M2:N2"/>
    <mergeCell ref="O2:P2"/>
    <mergeCell ref="C40:G40"/>
    <mergeCell ref="C37:G37"/>
    <mergeCell ref="B36:G36"/>
    <mergeCell ref="B4:E4"/>
    <mergeCell ref="D5:H5"/>
    <mergeCell ref="B31:P31"/>
    <mergeCell ref="B32:P34"/>
    <mergeCell ref="J5:L5"/>
    <mergeCell ref="N5:P5"/>
    <mergeCell ref="C38:G38"/>
    <mergeCell ref="C39:G3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4183-2D93-BC49-9C66-0968089E69DD}">
  <sheetPr>
    <tabColor rgb="FF002060"/>
  </sheetPr>
  <dimension ref="B1:B11"/>
  <sheetViews>
    <sheetView zoomScale="130" zoomScaleNormal="130" workbookViewId="0">
      <selection activeCell="N28" sqref="N28"/>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9" t="s">
        <v>308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19BA8-4F17-D941-A0CA-1A32F24BD562}">
  <dimension ref="B1:K6"/>
  <sheetViews>
    <sheetView workbookViewId="0">
      <selection activeCell="D37" sqref="D37"/>
    </sheetView>
  </sheetViews>
  <sheetFormatPr baseColWidth="10" defaultColWidth="9.1640625" defaultRowHeight="12" x14ac:dyDescent="0.15"/>
  <cols>
    <col min="1" max="1" width="2" style="2" customWidth="1"/>
    <col min="2" max="2" width="24.1640625" style="2" bestFit="1" customWidth="1"/>
    <col min="3" max="5" width="9.1640625" style="2"/>
    <col min="6" max="6" width="2" style="2" customWidth="1"/>
    <col min="7" max="16384" width="9.1640625" style="2"/>
  </cols>
  <sheetData>
    <row r="1" spans="2:11" ht="16" x14ac:dyDescent="0.2">
      <c r="B1" s="1" t="s">
        <v>55</v>
      </c>
    </row>
    <row r="2" spans="2:11" x14ac:dyDescent="0.15">
      <c r="B2" s="2" t="s">
        <v>88</v>
      </c>
    </row>
    <row r="3" spans="2:11" ht="27" thickBot="1" x14ac:dyDescent="0.2">
      <c r="B3" s="12" t="s">
        <v>87</v>
      </c>
      <c r="C3" s="13" t="s">
        <v>73</v>
      </c>
      <c r="D3" s="13" t="s">
        <v>74</v>
      </c>
      <c r="E3" s="13" t="s">
        <v>75</v>
      </c>
      <c r="F3" s="14"/>
      <c r="G3" s="15" t="s">
        <v>76</v>
      </c>
      <c r="H3" s="15" t="s">
        <v>77</v>
      </c>
      <c r="I3" s="15" t="s">
        <v>78</v>
      </c>
      <c r="J3" s="15" t="s">
        <v>79</v>
      </c>
      <c r="K3" s="15" t="s">
        <v>72</v>
      </c>
    </row>
    <row r="4" spans="2:11" x14ac:dyDescent="0.15">
      <c r="B4" s="2" t="s">
        <v>19</v>
      </c>
      <c r="C4" s="45">
        <f>'P&amp;L and BS'!C4</f>
        <v>2266373</v>
      </c>
      <c r="D4" s="45">
        <f>'P&amp;L and BS'!D4</f>
        <v>1856373</v>
      </c>
      <c r="E4" s="45">
        <f>'P&amp;L and BS'!E4</f>
        <v>1801674</v>
      </c>
      <c r="F4" s="45">
        <f>'P&amp;L and BS'!F4</f>
        <v>0</v>
      </c>
      <c r="G4" s="45">
        <f>'P&amp;L and BS'!G4</f>
        <v>1891757.7000000002</v>
      </c>
      <c r="H4" s="45">
        <f>'P&amp;L and BS'!H4</f>
        <v>1986345.5850000002</v>
      </c>
      <c r="I4" s="45">
        <f>'P&amp;L and BS'!I4</f>
        <v>2085662.8642500003</v>
      </c>
      <c r="J4" s="45">
        <f>'P&amp;L and BS'!J4</f>
        <v>2189946.0074625006</v>
      </c>
      <c r="K4" s="45">
        <f>'P&amp;L and BS'!K4</f>
        <v>2299443.307835626</v>
      </c>
    </row>
    <row r="5" spans="2:11" x14ac:dyDescent="0.15">
      <c r="B5" s="2" t="s">
        <v>31</v>
      </c>
      <c r="C5" s="45">
        <f>'P&amp;L and BS'!C9</f>
        <v>1235695</v>
      </c>
      <c r="D5" s="45">
        <f>'P&amp;L and BS'!D9</f>
        <v>965327</v>
      </c>
      <c r="E5" s="45">
        <f>'P&amp;L and BS'!E9</f>
        <v>877834</v>
      </c>
      <c r="F5" s="45">
        <f>'P&amp;L and BS'!F9</f>
        <v>0</v>
      </c>
      <c r="G5" s="45">
        <f>'P&amp;L and BS'!G9</f>
        <v>1135054.6200000001</v>
      </c>
      <c r="H5" s="45">
        <f>'P&amp;L and BS'!H9</f>
        <v>1191807.3510000003</v>
      </c>
      <c r="I5" s="45">
        <f>'P&amp;L and BS'!I9</f>
        <v>1251397.7185500003</v>
      </c>
      <c r="J5" s="45">
        <f>'P&amp;L and BS'!J9</f>
        <v>1313967.6044775003</v>
      </c>
      <c r="K5" s="45">
        <f>'P&amp;L and BS'!K9</f>
        <v>1379665.9847013755</v>
      </c>
    </row>
    <row r="6" spans="2:11" x14ac:dyDescent="0.15">
      <c r="B6" s="2" t="s">
        <v>56</v>
      </c>
      <c r="C6" s="18">
        <f>C5/C4</f>
        <v>0.54523019820656171</v>
      </c>
      <c r="D6" s="18">
        <f>D5/D4</f>
        <v>0.5200070244503664</v>
      </c>
      <c r="E6" s="18">
        <f>E5/E4</f>
        <v>0.48723242939621708</v>
      </c>
      <c r="F6" s="18"/>
      <c r="G6" s="47">
        <f>G5/G4</f>
        <v>0.6</v>
      </c>
      <c r="H6" s="47">
        <f>H5/H4</f>
        <v>0.60000000000000009</v>
      </c>
      <c r="I6" s="47">
        <f>I5/I4</f>
        <v>0.60000000000000009</v>
      </c>
      <c r="J6" s="47">
        <f>J5/J4</f>
        <v>0.6</v>
      </c>
      <c r="K6" s="47">
        <f>K5/K4</f>
        <v>0.6</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AFEB7-520F-F44C-92B7-47AC5D026AC5}">
  <dimension ref="B1:G5"/>
  <sheetViews>
    <sheetView workbookViewId="0">
      <selection activeCell="C5" sqref="C5"/>
    </sheetView>
  </sheetViews>
  <sheetFormatPr baseColWidth="10" defaultColWidth="9.1640625" defaultRowHeight="12" x14ac:dyDescent="0.15"/>
  <cols>
    <col min="1" max="1" width="2" style="2" customWidth="1"/>
    <col min="2" max="2" width="19.5" style="2" bestFit="1" customWidth="1"/>
    <col min="3" max="16384" width="9.1640625" style="2"/>
  </cols>
  <sheetData>
    <row r="1" spans="2:7" ht="16" x14ac:dyDescent="0.2">
      <c r="B1" s="1" t="s">
        <v>8</v>
      </c>
    </row>
    <row r="2" spans="2:7" x14ac:dyDescent="0.15">
      <c r="B2" s="2" t="s">
        <v>88</v>
      </c>
    </row>
    <row r="3" spans="2:7" ht="27" thickBot="1" x14ac:dyDescent="0.2">
      <c r="B3" s="12" t="s">
        <v>87</v>
      </c>
      <c r="C3" s="15" t="s">
        <v>76</v>
      </c>
      <c r="D3" s="15" t="s">
        <v>77</v>
      </c>
      <c r="E3" s="15" t="s">
        <v>78</v>
      </c>
      <c r="F3" s="15" t="s">
        <v>79</v>
      </c>
      <c r="G3" s="15" t="s">
        <v>72</v>
      </c>
    </row>
    <row r="4" spans="2:7" x14ac:dyDescent="0.15">
      <c r="B4" s="11" t="s">
        <v>44</v>
      </c>
      <c r="C4" s="17">
        <f>'DCF valuation'!G8</f>
        <v>484759.65540706855</v>
      </c>
      <c r="D4" s="17">
        <f>'DCF valuation'!H8</f>
        <v>457908.93280811375</v>
      </c>
      <c r="E4" s="17">
        <f>'DCF valuation'!I8</f>
        <v>468532.34262994007</v>
      </c>
      <c r="F4" s="17">
        <f>'DCF valuation'!J8</f>
        <v>478286.24353317148</v>
      </c>
      <c r="G4" s="17">
        <f>'DCF valuation'!K8</f>
        <v>486969.02490804141</v>
      </c>
    </row>
    <row r="5" spans="2:7" x14ac:dyDescent="0.15">
      <c r="B5" s="11" t="s">
        <v>48</v>
      </c>
      <c r="C5" s="17">
        <f>'DCF valuation'!G11</f>
        <v>444528.28579262004</v>
      </c>
      <c r="D5" s="17">
        <f>'DCF valuation'!H11</f>
        <v>385056.96300555125</v>
      </c>
      <c r="E5" s="17">
        <f>'DCF valuation'!I11</f>
        <v>361292.02361516259</v>
      </c>
      <c r="F5" s="17">
        <f>'DCF valuation'!J11</f>
        <v>338204.68602467183</v>
      </c>
      <c r="G5" s="17">
        <f>'DCF valuation'!K11</f>
        <v>315766.46197613183</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602B-B30A-E443-BC7C-79AD7FD8E459}">
  <dimension ref="B1:O7"/>
  <sheetViews>
    <sheetView workbookViewId="0">
      <selection activeCell="K8" sqref="K8"/>
    </sheetView>
  </sheetViews>
  <sheetFormatPr baseColWidth="10" defaultColWidth="9.1640625" defaultRowHeight="12" x14ac:dyDescent="0.15"/>
  <cols>
    <col min="1" max="1" width="2" style="2" customWidth="1"/>
    <col min="2" max="2" width="18.83203125" style="2" bestFit="1" customWidth="1"/>
    <col min="3" max="16384" width="9.1640625" style="2"/>
  </cols>
  <sheetData>
    <row r="1" spans="2:15" ht="16" x14ac:dyDescent="0.2">
      <c r="B1" s="1" t="s">
        <v>9</v>
      </c>
    </row>
    <row r="2" spans="2:15" x14ac:dyDescent="0.15">
      <c r="K2" s="48">
        <f>C3</f>
        <v>877834</v>
      </c>
      <c r="L2" s="48">
        <f>K2</f>
        <v>877834</v>
      </c>
      <c r="M2" s="49">
        <f>L2+L3+C5</f>
        <v>1135498.2935000001</v>
      </c>
      <c r="N2" s="49">
        <f>M2</f>
        <v>1135498.2935000001</v>
      </c>
      <c r="O2" s="50"/>
    </row>
    <row r="3" spans="2:15" x14ac:dyDescent="0.15">
      <c r="B3" s="150" t="s">
        <v>297</v>
      </c>
      <c r="C3" s="2">
        <f>'P&amp;L and BS'!E9</f>
        <v>877834</v>
      </c>
      <c r="K3" s="51">
        <v>0</v>
      </c>
      <c r="L3" s="48">
        <f>C4</f>
        <v>90083.700000000186</v>
      </c>
      <c r="M3" s="49">
        <f>-C5</f>
        <v>-167580.59349999996</v>
      </c>
      <c r="N3" s="49">
        <f>C6</f>
        <v>-443.67350000000442</v>
      </c>
      <c r="O3" s="49">
        <f>N3+N2</f>
        <v>1135054.6200000001</v>
      </c>
    </row>
    <row r="4" spans="2:15" ht="53" customHeight="1" x14ac:dyDescent="0.15">
      <c r="B4" s="150" t="s">
        <v>57</v>
      </c>
      <c r="C4" s="2">
        <f>'P&amp;L and BS'!G4-'P&amp;L and BS'!E4</f>
        <v>90083.700000000186</v>
      </c>
      <c r="E4" s="275" t="s">
        <v>402</v>
      </c>
      <c r="F4" s="276"/>
      <c r="G4" s="276"/>
      <c r="H4" s="276"/>
      <c r="I4" s="277"/>
      <c r="K4" s="52" t="str">
        <f>B3</f>
        <v>EBITDA FY24</v>
      </c>
      <c r="L4" s="53" t="str">
        <f>B4</f>
        <v>Delta Revenues</v>
      </c>
      <c r="M4" s="53" t="str">
        <f>B5</f>
        <v>Delta Operating costs</v>
      </c>
      <c r="N4" s="53" t="str">
        <f>B6</f>
        <v>Delta Operating overhead</v>
      </c>
      <c r="O4" s="54" t="str">
        <f>B7</f>
        <v>EBITDA FY25</v>
      </c>
    </row>
    <row r="5" spans="2:15" x14ac:dyDescent="0.15">
      <c r="B5" s="150" t="s">
        <v>299</v>
      </c>
      <c r="C5" s="2">
        <f>'P&amp;L and BS'!G5-'P&amp;L and BS'!E5</f>
        <v>167580.59349999996</v>
      </c>
      <c r="E5" s="278" t="s">
        <v>403</v>
      </c>
      <c r="F5" s="279"/>
      <c r="G5" s="279"/>
      <c r="H5" s="279"/>
      <c r="I5" s="280"/>
    </row>
    <row r="6" spans="2:15" x14ac:dyDescent="0.15">
      <c r="B6" s="150" t="s">
        <v>300</v>
      </c>
      <c r="C6" s="2">
        <f>'P&amp;L and BS'!G8-'P&amp;L and BS'!E8</f>
        <v>-443.67350000000442</v>
      </c>
      <c r="E6" s="281"/>
      <c r="F6" s="282"/>
      <c r="G6" s="282"/>
      <c r="H6" s="282"/>
      <c r="I6" s="283"/>
    </row>
    <row r="7" spans="2:15" x14ac:dyDescent="0.15">
      <c r="B7" s="150" t="s">
        <v>298</v>
      </c>
      <c r="C7" s="2">
        <f>'P&amp;L and BS'!G9</f>
        <v>1135054.6200000001</v>
      </c>
      <c r="E7" s="284"/>
      <c r="F7" s="285"/>
      <c r="G7" s="285"/>
      <c r="H7" s="285"/>
      <c r="I7" s="286"/>
    </row>
  </sheetData>
  <mergeCells count="2">
    <mergeCell ref="E4:I4"/>
    <mergeCell ref="E5:I7"/>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5F4E4-9EFC-AC47-92D1-60ADC1206CF3}">
  <dimension ref="B1:K11"/>
  <sheetViews>
    <sheetView workbookViewId="0">
      <selection activeCell="M15" sqref="M15"/>
    </sheetView>
  </sheetViews>
  <sheetFormatPr baseColWidth="10" defaultColWidth="9.1640625" defaultRowHeight="12" x14ac:dyDescent="0.15"/>
  <cols>
    <col min="1" max="1" width="2" style="2" customWidth="1"/>
    <col min="2" max="2" width="18.5" style="2" bestFit="1" customWidth="1"/>
    <col min="3" max="5" width="9.1640625" style="2"/>
    <col min="6" max="6" width="2" style="2" customWidth="1"/>
    <col min="7" max="16384" width="9.1640625" style="2"/>
  </cols>
  <sheetData>
    <row r="1" spans="2:11" ht="16" x14ac:dyDescent="0.2">
      <c r="B1" s="1" t="s">
        <v>10</v>
      </c>
    </row>
    <row r="2" spans="2:11" x14ac:dyDescent="0.15">
      <c r="B2" s="2" t="s">
        <v>88</v>
      </c>
    </row>
    <row r="3" spans="2:11" ht="27" thickBot="1" x14ac:dyDescent="0.2">
      <c r="B3" s="12" t="s">
        <v>87</v>
      </c>
      <c r="C3" s="13" t="s">
        <v>73</v>
      </c>
      <c r="D3" s="13" t="s">
        <v>74</v>
      </c>
      <c r="E3" s="13" t="s">
        <v>75</v>
      </c>
      <c r="F3" s="14"/>
      <c r="G3" s="15" t="s">
        <v>76</v>
      </c>
      <c r="H3" s="15" t="s">
        <v>77</v>
      </c>
      <c r="I3" s="15" t="s">
        <v>78</v>
      </c>
      <c r="J3" s="15" t="s">
        <v>79</v>
      </c>
      <c r="K3" s="15" t="s">
        <v>72</v>
      </c>
    </row>
    <row r="4" spans="2:11" x14ac:dyDescent="0.15">
      <c r="B4" s="35" t="s">
        <v>112</v>
      </c>
      <c r="C4" s="45">
        <f>'P&amp;L and BS'!C29</f>
        <v>100528</v>
      </c>
      <c r="D4" s="45">
        <f>'P&amp;L and BS'!D29</f>
        <v>85951</v>
      </c>
      <c r="E4" s="45">
        <f>'P&amp;L and BS'!E29</f>
        <v>83728</v>
      </c>
      <c r="F4" s="45">
        <f>'P&amp;L and BS'!F29</f>
        <v>0</v>
      </c>
      <c r="G4" s="46">
        <f>'P&amp;L and BS'!G29</f>
        <v>44702.493595890417</v>
      </c>
      <c r="H4" s="46">
        <f>'P&amp;L and BS'!H29</f>
        <v>46937.618275684938</v>
      </c>
      <c r="I4" s="46">
        <f>'P&amp;L and BS'!I29</f>
        <v>49284.499189469178</v>
      </c>
      <c r="J4" s="46">
        <f>'P&amp;L and BS'!J29</f>
        <v>51748.724148942652</v>
      </c>
      <c r="K4" s="46">
        <f>'P&amp;L and BS'!K29</f>
        <v>54336.160356389795</v>
      </c>
    </row>
    <row r="5" spans="2:11" x14ac:dyDescent="0.15">
      <c r="B5" s="2" t="s">
        <v>142</v>
      </c>
      <c r="C5" s="45">
        <f>'P&amp;L and BS'!C30</f>
        <v>164442</v>
      </c>
      <c r="D5" s="45">
        <f>'P&amp;L and BS'!D30</f>
        <v>163919</v>
      </c>
      <c r="E5" s="45">
        <f>'P&amp;L and BS'!E30</f>
        <v>167884</v>
      </c>
      <c r="F5" s="45">
        <f>'P&amp;L and BS'!F30</f>
        <v>0</v>
      </c>
      <c r="G5" s="46">
        <f>'P&amp;L and BS'!G30</f>
        <v>181401.42328767126</v>
      </c>
      <c r="H5" s="46">
        <f>'P&amp;L and BS'!H30</f>
        <v>190471.49445205482</v>
      </c>
      <c r="I5" s="46">
        <f>'P&amp;L and BS'!I30</f>
        <v>199995.06917465758</v>
      </c>
      <c r="J5" s="46">
        <f>'P&amp;L and BS'!J30</f>
        <v>209994.82263339049</v>
      </c>
      <c r="K5" s="46">
        <f>'P&amp;L and BS'!K30</f>
        <v>220494.56376506004</v>
      </c>
    </row>
    <row r="6" spans="2:11" x14ac:dyDescent="0.15">
      <c r="B6" s="2" t="s">
        <v>145</v>
      </c>
      <c r="C6" s="45">
        <f>'P&amp;L and BS'!C36</f>
        <v>135390</v>
      </c>
      <c r="D6" s="45">
        <f>'P&amp;L and BS'!D36</f>
        <v>151553</v>
      </c>
      <c r="E6" s="45">
        <f>'P&amp;L and BS'!E36</f>
        <v>157467</v>
      </c>
      <c r="F6" s="45">
        <f>'P&amp;L and BS'!F36</f>
        <v>0</v>
      </c>
      <c r="G6" s="46">
        <f>'P&amp;L and BS'!G36</f>
        <v>125166.98206849316</v>
      </c>
      <c r="H6" s="46">
        <f>'P&amp;L and BS'!H36</f>
        <v>131425.33117191782</v>
      </c>
      <c r="I6" s="46">
        <f>'P&amp;L and BS'!I36</f>
        <v>137996.59773051369</v>
      </c>
      <c r="J6" s="46">
        <f>'P&amp;L and BS'!J36</f>
        <v>144896.42761703944</v>
      </c>
      <c r="K6" s="46">
        <f>'P&amp;L and BS'!K36</f>
        <v>152141.24899789141</v>
      </c>
    </row>
    <row r="7" spans="2:11" x14ac:dyDescent="0.15">
      <c r="B7" s="55" t="s">
        <v>10</v>
      </c>
      <c r="C7" s="56">
        <f>C4+C5-C6</f>
        <v>129580</v>
      </c>
      <c r="D7" s="56">
        <f>D4+D5-D6</f>
        <v>98317</v>
      </c>
      <c r="E7" s="56">
        <f>E4+E5-E6</f>
        <v>94145</v>
      </c>
      <c r="F7" s="56"/>
      <c r="G7" s="57">
        <f>G4+G5-G6</f>
        <v>100936.93481506851</v>
      </c>
      <c r="H7" s="57">
        <f>H4+H5-H6</f>
        <v>105983.78155582194</v>
      </c>
      <c r="I7" s="57">
        <f>I4+I5-I6</f>
        <v>111282.97063361306</v>
      </c>
      <c r="J7" s="57">
        <f>J4+J5-J6</f>
        <v>116847.1191652937</v>
      </c>
      <c r="K7" s="57">
        <f>K4+K5-K6</f>
        <v>122689.47512355846</v>
      </c>
    </row>
    <row r="9" spans="2:11" x14ac:dyDescent="0.15">
      <c r="B9" s="35" t="s">
        <v>58</v>
      </c>
      <c r="C9" s="45">
        <f>Assumptions!C82</f>
        <v>26.483429691405608</v>
      </c>
      <c r="D9" s="45">
        <f>Assumptions!D82</f>
        <v>32.229748547301647</v>
      </c>
      <c r="E9" s="45">
        <f>Assumptions!E82</f>
        <v>34.011513736669343</v>
      </c>
      <c r="F9" s="45">
        <f>Assumptions!F82</f>
        <v>0</v>
      </c>
      <c r="G9" s="46">
        <f>Assumptions!G82</f>
        <v>35</v>
      </c>
      <c r="H9" s="46">
        <f>Assumptions!H82</f>
        <v>35</v>
      </c>
      <c r="I9" s="46">
        <f>Assumptions!I82</f>
        <v>35</v>
      </c>
      <c r="J9" s="46">
        <f>Assumptions!J82</f>
        <v>35</v>
      </c>
      <c r="K9" s="46">
        <f>Assumptions!K82</f>
        <v>35</v>
      </c>
    </row>
    <row r="10" spans="2:11" x14ac:dyDescent="0.15">
      <c r="B10" s="2" t="s">
        <v>59</v>
      </c>
      <c r="C10" s="45">
        <f>Assumptions!C76</f>
        <v>39.280857113493887</v>
      </c>
      <c r="D10" s="45">
        <f>Assumptions!D76</f>
        <v>39.237558205124678</v>
      </c>
      <c r="E10" s="45">
        <f>Assumptions!E76</f>
        <v>37.258402144745972</v>
      </c>
      <c r="F10" s="45">
        <f>Assumptions!F76</f>
        <v>0</v>
      </c>
      <c r="G10" s="46">
        <f>Assumptions!G76</f>
        <v>25</v>
      </c>
      <c r="H10" s="46">
        <f>Assumptions!H76</f>
        <v>25</v>
      </c>
      <c r="I10" s="46">
        <f>Assumptions!I76</f>
        <v>25</v>
      </c>
      <c r="J10" s="46">
        <f>Assumptions!J76</f>
        <v>25</v>
      </c>
      <c r="K10" s="46">
        <f>Assumptions!K76</f>
        <v>25</v>
      </c>
    </row>
    <row r="11" spans="2:11" x14ac:dyDescent="0.15">
      <c r="B11" s="2" t="s">
        <v>60</v>
      </c>
      <c r="C11" s="45">
        <f>Assumptions!C88</f>
        <v>52.90302447672228</v>
      </c>
      <c r="D11" s="45">
        <f>Assumptions!D88</f>
        <v>69.185578511724827</v>
      </c>
      <c r="E11" s="45">
        <f>Assumptions!E88</f>
        <v>70.071765843286755</v>
      </c>
      <c r="F11" s="45">
        <f>Assumptions!F88</f>
        <v>0</v>
      </c>
      <c r="G11" s="46">
        <f>Assumptions!G88</f>
        <v>70</v>
      </c>
      <c r="H11" s="46">
        <f>Assumptions!H88</f>
        <v>70</v>
      </c>
      <c r="I11" s="46">
        <f>Assumptions!I88</f>
        <v>70</v>
      </c>
      <c r="J11" s="46">
        <f>Assumptions!J88</f>
        <v>70</v>
      </c>
      <c r="K11" s="46">
        <f>Assumptions!K88</f>
        <v>70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Index</vt:lpstr>
      <vt:lpstr>1) Sources --&gt;</vt:lpstr>
      <vt:lpstr>P&amp;L source</vt:lpstr>
      <vt:lpstr>BS source</vt:lpstr>
      <vt:lpstr>CF source</vt:lpstr>
      <vt:lpstr>2) 3 Statement Model --&gt;</vt:lpstr>
      <vt:lpstr>Assumptions</vt:lpstr>
      <vt:lpstr>P&amp;L and BS</vt:lpstr>
      <vt:lpstr>Cash Flow</vt:lpstr>
      <vt:lpstr>3) DCF Model--&gt;</vt:lpstr>
      <vt:lpstr>WACC</vt:lpstr>
      <vt:lpstr>DCF valuation</vt:lpstr>
      <vt:lpstr>DCF results</vt:lpstr>
      <vt:lpstr>4) Comps Model  --&gt;</vt:lpstr>
      <vt:lpstr>Comps Model</vt:lpstr>
      <vt:lpstr>5) Charts  --&gt;</vt:lpstr>
      <vt:lpstr>Revenues&amp;Ebitda</vt:lpstr>
      <vt:lpstr>Cash flows</vt:lpstr>
      <vt:lpstr>Ebitda bridge</vt:lpstr>
      <vt:lpstr>Working capital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Arsen Tagibekov</dc:creator>
  <cp:lastModifiedBy>Arsen Tagibekov</cp:lastModifiedBy>
  <dcterms:created xsi:type="dcterms:W3CDTF">2025-06-10T03:41:41Z</dcterms:created>
  <dcterms:modified xsi:type="dcterms:W3CDTF">2025-06-30T17:20:09Z</dcterms:modified>
</cp:coreProperties>
</file>