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drawings/drawing4.xml" ContentType="application/vnd.openxmlformats-officedocument.drawingml.chartshapes+xml"/>
  <Override PartName="/xl/charts/chart10.xml" ContentType="application/vnd.openxmlformats-officedocument.drawingml.chart+xml"/>
  <Override PartName="/xl/drawings/drawing5.xml" ContentType="application/vnd.openxmlformats-officedocument.drawingml.chartshapes+xml"/>
  <Override PartName="/xl/charts/chart11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drawings/drawing1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Courses and Projects (Finance &amp; Data Science )/Job Hunting &amp; Portfolio Projects/Ashgabat/Valuation of Schlumberger/"/>
    </mc:Choice>
  </mc:AlternateContent>
  <xr:revisionPtr revIDLastSave="0" documentId="13_ncr:1_{B5ECA2B0-FE97-954D-B01A-7DF2F6CB8AC3}" xr6:coauthVersionLast="47" xr6:coauthVersionMax="47" xr10:uidLastSave="{00000000-0000-0000-0000-000000000000}"/>
  <bookViews>
    <workbookView xWindow="320" yWindow="500" windowWidth="28480" windowHeight="16560" firstSheet="11" activeTab="16" xr2:uid="{9220FE13-073F-4241-9DB0-BDA00FD1E26F}"/>
  </bookViews>
  <sheets>
    <sheet name="Index" sheetId="1" r:id="rId1"/>
    <sheet name="1) Sources --&gt;" sheetId="17" r:id="rId2"/>
    <sheet name="P&amp;L source" sheetId="18" r:id="rId3"/>
    <sheet name="BS source" sheetId="19" r:id="rId4"/>
    <sheet name="CF source" sheetId="20" r:id="rId5"/>
    <sheet name="2) Financial Statement Analysis" sheetId="21" r:id="rId6"/>
    <sheet name="Ratios" sheetId="22" r:id="rId7"/>
    <sheet name="3) 3 Statement Model --&gt;" sheetId="3" r:id="rId8"/>
    <sheet name="Assumptions" sheetId="4" r:id="rId9"/>
    <sheet name="P&amp;L and BS" sheetId="7" r:id="rId10"/>
    <sheet name="Cash Flow" sheetId="9" r:id="rId11"/>
    <sheet name="4) DCF Model --&gt;" sheetId="6" r:id="rId12"/>
    <sheet name="WACC" sheetId="26" r:id="rId13"/>
    <sheet name="DCF valuation" sheetId="10" r:id="rId14"/>
    <sheet name="DCF results" sheetId="16" r:id="rId15"/>
    <sheet name="5) Comps Model  --&gt;" sheetId="23" r:id="rId16"/>
    <sheet name="Comps Model" sheetId="24" r:id="rId17"/>
    <sheet name="6) Charts  --&gt;" sheetId="11" r:id="rId18"/>
    <sheet name="Revenues&amp;Ebitda" sheetId="12" r:id="rId19"/>
    <sheet name="Cash flows" sheetId="13" r:id="rId20"/>
    <sheet name="Ebitda bridge" sheetId="14" r:id="rId21"/>
    <sheet name="Working capital" sheetId="15" r:id="rId22"/>
  </sheets>
  <externalReferences>
    <externalReference r:id="rId23"/>
  </externalReferences>
  <definedNames>
    <definedName name="Diluted_Shares">[1]ValSum!$E$35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24" l="1"/>
  <c r="C5" i="14"/>
  <c r="P24" i="24"/>
  <c r="O22" i="24"/>
  <c r="P25" i="24" l="1"/>
  <c r="O25" i="24"/>
  <c r="N25" i="24"/>
  <c r="P22" i="24"/>
  <c r="N22" i="24"/>
  <c r="C154" i="4" l="1"/>
  <c r="C5" i="10" s="1"/>
  <c r="B21" i="1" l="1"/>
  <c r="C7" i="26"/>
  <c r="C12" i="26" l="1"/>
  <c r="C5" i="26"/>
  <c r="C17" i="26" l="1"/>
  <c r="C6" i="26" s="1"/>
  <c r="P23" i="24"/>
  <c r="O23" i="24"/>
  <c r="N23" i="24"/>
  <c r="F12" i="24"/>
  <c r="H12" i="24" s="1"/>
  <c r="F11" i="24"/>
  <c r="P11" i="24" s="1"/>
  <c r="F10" i="24"/>
  <c r="H10" i="24" s="1"/>
  <c r="F9" i="24"/>
  <c r="P9" i="24" s="1"/>
  <c r="F8" i="24"/>
  <c r="P8" i="24" s="1"/>
  <c r="F7" i="24"/>
  <c r="C13" i="26" l="1"/>
  <c r="H8" i="24"/>
  <c r="O8" i="24" s="1"/>
  <c r="P12" i="24"/>
  <c r="H9" i="24"/>
  <c r="O9" i="24" s="1"/>
  <c r="P10" i="24"/>
  <c r="P17" i="24" s="1"/>
  <c r="P16" i="24"/>
  <c r="P18" i="24"/>
  <c r="P15" i="24"/>
  <c r="O12" i="24"/>
  <c r="N12" i="24"/>
  <c r="P7" i="24"/>
  <c r="H7" i="24"/>
  <c r="O10" i="24"/>
  <c r="N10" i="24"/>
  <c r="H11" i="24"/>
  <c r="N8" i="24" l="1"/>
  <c r="N9" i="24"/>
  <c r="P14" i="24"/>
  <c r="P19" i="24"/>
  <c r="N7" i="24"/>
  <c r="O7" i="24"/>
  <c r="O11" i="24"/>
  <c r="O16" i="24" s="1"/>
  <c r="N11" i="24"/>
  <c r="P26" i="24"/>
  <c r="O18" i="24" l="1"/>
  <c r="N18" i="24"/>
  <c r="N16" i="24"/>
  <c r="N19" i="24"/>
  <c r="O15" i="24"/>
  <c r="O14" i="24"/>
  <c r="O17" i="24"/>
  <c r="O24" i="24" s="1"/>
  <c r="O26" i="24" s="1"/>
  <c r="N17" i="24"/>
  <c r="N24" i="24" s="1"/>
  <c r="N26" i="24" s="1"/>
  <c r="N15" i="24"/>
  <c r="O19" i="24"/>
  <c r="E20" i="22" l="1"/>
  <c r="F20" i="22"/>
  <c r="G20" i="22"/>
  <c r="H20" i="22"/>
  <c r="D20" i="22"/>
  <c r="D19" i="22"/>
  <c r="E19" i="22"/>
  <c r="F19" i="22"/>
  <c r="G19" i="22"/>
  <c r="H19" i="22"/>
  <c r="E18" i="22"/>
  <c r="F18" i="22"/>
  <c r="G18" i="22"/>
  <c r="H18" i="22"/>
  <c r="D18" i="22"/>
  <c r="L29" i="19"/>
  <c r="M29" i="19"/>
  <c r="E16" i="22"/>
  <c r="F16" i="22"/>
  <c r="G16" i="22"/>
  <c r="H16" i="22"/>
  <c r="D16" i="22"/>
  <c r="E11" i="22"/>
  <c r="F11" i="22"/>
  <c r="G11" i="22"/>
  <c r="H11" i="22"/>
  <c r="E15" i="22"/>
  <c r="F15" i="22"/>
  <c r="G15" i="22"/>
  <c r="H15" i="22"/>
  <c r="D15" i="22"/>
  <c r="E13" i="22"/>
  <c r="F13" i="22"/>
  <c r="G13" i="22"/>
  <c r="H13" i="22"/>
  <c r="D13" i="22"/>
  <c r="E12" i="22"/>
  <c r="F12" i="22"/>
  <c r="G12" i="22"/>
  <c r="H12" i="22"/>
  <c r="D12" i="22"/>
  <c r="D11" i="22"/>
  <c r="E9" i="22"/>
  <c r="F9" i="22"/>
  <c r="G9" i="22"/>
  <c r="H9" i="22"/>
  <c r="D9" i="22"/>
  <c r="E8" i="22"/>
  <c r="F8" i="22"/>
  <c r="G8" i="22"/>
  <c r="H8" i="22"/>
  <c r="D8" i="22"/>
  <c r="E7" i="22"/>
  <c r="F7" i="22"/>
  <c r="G7" i="22"/>
  <c r="H7" i="22"/>
  <c r="D7" i="22"/>
  <c r="E6" i="22"/>
  <c r="F6" i="22"/>
  <c r="G6" i="22"/>
  <c r="H6" i="22"/>
  <c r="D6" i="22"/>
  <c r="E5" i="22"/>
  <c r="F5" i="22"/>
  <c r="G5" i="22"/>
  <c r="H5" i="22"/>
  <c r="D5" i="22"/>
  <c r="D18" i="18"/>
  <c r="M27" i="19" l="1"/>
  <c r="L27" i="19"/>
  <c r="E28" i="18"/>
  <c r="E25" i="18"/>
  <c r="D22" i="18"/>
  <c r="D25" i="18" s="1"/>
  <c r="D28" i="18" s="1"/>
  <c r="E22" i="18"/>
  <c r="E18" i="18"/>
  <c r="D10" i="18"/>
  <c r="E10" i="18"/>
  <c r="B9" i="1" l="1"/>
  <c r="B10" i="1" s="1"/>
  <c r="B11" i="1" s="1"/>
  <c r="B12" i="1" s="1"/>
  <c r="I25" i="22"/>
  <c r="I21" i="22"/>
  <c r="I20" i="22"/>
  <c r="I17" i="22"/>
  <c r="I14" i="22"/>
  <c r="I12" i="22"/>
  <c r="I9" i="22"/>
  <c r="I8" i="22"/>
  <c r="I5" i="22"/>
  <c r="I4" i="22"/>
  <c r="B6" i="1"/>
  <c r="B7" i="1" s="1"/>
  <c r="F11" i="15"/>
  <c r="F10" i="15"/>
  <c r="F9" i="15"/>
  <c r="L4" i="14"/>
  <c r="I6" i="22" l="1"/>
  <c r="I10" i="22" s="1"/>
  <c r="I15" i="22" s="1"/>
  <c r="I18" i="22" s="1"/>
  <c r="I22" i="22" s="1"/>
  <c r="I27" i="22" s="1"/>
  <c r="B13" i="1"/>
  <c r="B14" i="1" s="1"/>
  <c r="B15" i="1" s="1"/>
  <c r="B16" i="1" s="1"/>
  <c r="B17" i="1" s="1"/>
  <c r="B18" i="1" s="1"/>
  <c r="C20" i="10"/>
  <c r="B19" i="1" l="1"/>
  <c r="B20" i="1" s="1"/>
  <c r="B22" i="1" s="1"/>
  <c r="B23" i="1" s="1"/>
  <c r="B24" i="1" s="1"/>
  <c r="B25" i="1" s="1"/>
  <c r="D29" i="9"/>
  <c r="D30" i="9" l="1"/>
  <c r="G26" i="9" l="1"/>
  <c r="F26" i="9"/>
  <c r="E26" i="9" l="1"/>
  <c r="D26" i="9"/>
  <c r="H25" i="9" l="1"/>
  <c r="I25" i="9"/>
  <c r="J25" i="9"/>
  <c r="K25" i="9"/>
  <c r="G25" i="9"/>
  <c r="E25" i="9" l="1"/>
  <c r="D25" i="9"/>
  <c r="E21" i="9"/>
  <c r="D21" i="9"/>
  <c r="E20" i="9"/>
  <c r="F20" i="9"/>
  <c r="D20" i="9"/>
  <c r="E19" i="9"/>
  <c r="F19" i="9"/>
  <c r="D19" i="9"/>
  <c r="E18" i="9"/>
  <c r="F18" i="9"/>
  <c r="D18" i="9"/>
  <c r="E13" i="9"/>
  <c r="E44" i="9" s="1"/>
  <c r="F13" i="9"/>
  <c r="F44" i="9" s="1"/>
  <c r="D13" i="9"/>
  <c r="D44" i="9" s="1"/>
  <c r="E7" i="9"/>
  <c r="E43" i="9" s="1"/>
  <c r="F7" i="9"/>
  <c r="F43" i="9" s="1"/>
  <c r="D7" i="9"/>
  <c r="D43" i="9" s="1"/>
  <c r="E9" i="9"/>
  <c r="D9" i="9"/>
  <c r="E136" i="4"/>
  <c r="D136" i="4"/>
  <c r="D141" i="4"/>
  <c r="E141" i="4"/>
  <c r="C141" i="4"/>
  <c r="D147" i="4"/>
  <c r="E147" i="4"/>
  <c r="C147" i="4"/>
  <c r="E135" i="4"/>
  <c r="D135" i="4"/>
  <c r="C135" i="4"/>
  <c r="H14" i="9"/>
  <c r="I14" i="9"/>
  <c r="J14" i="9"/>
  <c r="K14" i="9"/>
  <c r="G14" i="9"/>
  <c r="E14" i="9"/>
  <c r="D14" i="9"/>
  <c r="D129" i="4"/>
  <c r="E129" i="4"/>
  <c r="C129" i="4"/>
  <c r="D123" i="4"/>
  <c r="E123" i="4"/>
  <c r="F22" i="9" l="1"/>
  <c r="D22" i="9"/>
  <c r="E22" i="9"/>
  <c r="D15" i="9"/>
  <c r="F15" i="9"/>
  <c r="E15" i="9"/>
  <c r="C123" i="4"/>
  <c r="E8" i="9"/>
  <c r="E45" i="9" s="1"/>
  <c r="F8" i="9"/>
  <c r="F45" i="9" s="1"/>
  <c r="D8" i="9"/>
  <c r="D45" i="9" s="1"/>
  <c r="K148" i="4"/>
  <c r="J148" i="4"/>
  <c r="I148" i="4"/>
  <c r="H148" i="4"/>
  <c r="G148" i="4"/>
  <c r="G147" i="4" s="1"/>
  <c r="E148" i="4"/>
  <c r="D148" i="4"/>
  <c r="K142" i="4"/>
  <c r="J142" i="4"/>
  <c r="I142" i="4"/>
  <c r="H142" i="4"/>
  <c r="G142" i="4"/>
  <c r="K136" i="4"/>
  <c r="J136" i="4"/>
  <c r="I136" i="4"/>
  <c r="H136" i="4"/>
  <c r="G136" i="4"/>
  <c r="G135" i="4"/>
  <c r="K130" i="4"/>
  <c r="J130" i="4"/>
  <c r="I130" i="4"/>
  <c r="H130" i="4"/>
  <c r="G130" i="4"/>
  <c r="K124" i="4"/>
  <c r="J124" i="4"/>
  <c r="I124" i="4"/>
  <c r="H124" i="4"/>
  <c r="G124" i="4"/>
  <c r="H147" i="4" l="1"/>
  <c r="H20" i="9" s="1"/>
  <c r="G20" i="9"/>
  <c r="H135" i="4"/>
  <c r="G18" i="9"/>
  <c r="C13" i="7"/>
  <c r="D13" i="7"/>
  <c r="E13" i="7"/>
  <c r="I147" i="4" l="1"/>
  <c r="J147" i="4"/>
  <c r="I20" i="9"/>
  <c r="I135" i="4"/>
  <c r="H18" i="9"/>
  <c r="D102" i="4"/>
  <c r="E102" i="4"/>
  <c r="C102" i="4"/>
  <c r="D50" i="7"/>
  <c r="E50" i="7"/>
  <c r="C50" i="7"/>
  <c r="D54" i="7"/>
  <c r="E54" i="7"/>
  <c r="C54" i="7"/>
  <c r="F47" i="7"/>
  <c r="F49" i="7"/>
  <c r="J135" i="4" l="1"/>
  <c r="I18" i="9"/>
  <c r="K147" i="4"/>
  <c r="K20" i="9" s="1"/>
  <c r="J20" i="9"/>
  <c r="G85" i="4"/>
  <c r="G10" i="15" s="1"/>
  <c r="K115" i="4"/>
  <c r="J115" i="4"/>
  <c r="I115" i="4"/>
  <c r="H115" i="4"/>
  <c r="G115" i="4"/>
  <c r="G114" i="4" s="1"/>
  <c r="K109" i="4"/>
  <c r="J109" i="4"/>
  <c r="I109" i="4"/>
  <c r="H109" i="4"/>
  <c r="G109" i="4"/>
  <c r="K103" i="4"/>
  <c r="J103" i="4"/>
  <c r="I103" i="4"/>
  <c r="H103" i="4"/>
  <c r="G103" i="4"/>
  <c r="K91" i="4"/>
  <c r="J91" i="4"/>
  <c r="I91" i="4"/>
  <c r="H91" i="4"/>
  <c r="G91" i="4"/>
  <c r="H79" i="4"/>
  <c r="I79" i="4"/>
  <c r="J79" i="4"/>
  <c r="K79" i="4"/>
  <c r="G79" i="4"/>
  <c r="K97" i="4"/>
  <c r="K11" i="15" s="1"/>
  <c r="J97" i="4"/>
  <c r="J11" i="15" s="1"/>
  <c r="I97" i="4"/>
  <c r="I11" i="15" s="1"/>
  <c r="H97" i="4"/>
  <c r="H11" i="15" s="1"/>
  <c r="G97" i="4"/>
  <c r="G11" i="15" s="1"/>
  <c r="K85" i="4"/>
  <c r="K10" i="15" s="1"/>
  <c r="J85" i="4"/>
  <c r="J10" i="15" s="1"/>
  <c r="I85" i="4"/>
  <c r="I10" i="15" s="1"/>
  <c r="H85" i="4"/>
  <c r="H10" i="15" s="1"/>
  <c r="H73" i="4"/>
  <c r="H9" i="15" s="1"/>
  <c r="I73" i="4"/>
  <c r="I9" i="15" s="1"/>
  <c r="J73" i="4"/>
  <c r="J9" i="15" s="1"/>
  <c r="K73" i="4"/>
  <c r="K9" i="15" s="1"/>
  <c r="G73" i="4"/>
  <c r="G9" i="15" s="1"/>
  <c r="D38" i="7"/>
  <c r="E38" i="7"/>
  <c r="C38" i="7"/>
  <c r="D114" i="4"/>
  <c r="E114" i="4"/>
  <c r="C114" i="4"/>
  <c r="D108" i="4"/>
  <c r="E108" i="4"/>
  <c r="C108" i="4"/>
  <c r="D51" i="7"/>
  <c r="E51" i="7"/>
  <c r="F51" i="7"/>
  <c r="C51" i="7"/>
  <c r="F46" i="7"/>
  <c r="D41" i="7"/>
  <c r="E41" i="7"/>
  <c r="C41" i="7"/>
  <c r="D46" i="7"/>
  <c r="E46" i="7"/>
  <c r="C46" i="7"/>
  <c r="D48" i="7"/>
  <c r="E48" i="7"/>
  <c r="G48" i="7" s="1"/>
  <c r="C48" i="7"/>
  <c r="F45" i="7"/>
  <c r="F6" i="15" s="1"/>
  <c r="D96" i="4"/>
  <c r="E96" i="4"/>
  <c r="C96" i="4"/>
  <c r="G108" i="4" l="1"/>
  <c r="C47" i="7"/>
  <c r="K48" i="7"/>
  <c r="E47" i="7"/>
  <c r="E109" i="4"/>
  <c r="J48" i="7"/>
  <c r="C45" i="7"/>
  <c r="C6" i="15" s="1"/>
  <c r="D109" i="4"/>
  <c r="D47" i="7"/>
  <c r="I48" i="7"/>
  <c r="D45" i="7"/>
  <c r="D6" i="15" s="1"/>
  <c r="H48" i="7"/>
  <c r="E49" i="7"/>
  <c r="E115" i="4"/>
  <c r="E45" i="7"/>
  <c r="E6" i="15" s="1"/>
  <c r="C49" i="7"/>
  <c r="D49" i="7"/>
  <c r="D115" i="4"/>
  <c r="H114" i="4"/>
  <c r="G49" i="7"/>
  <c r="K135" i="4"/>
  <c r="K18" i="9" s="1"/>
  <c r="J18" i="9"/>
  <c r="G47" i="7"/>
  <c r="H108" i="4"/>
  <c r="F36" i="7"/>
  <c r="F35" i="7"/>
  <c r="F4" i="15" s="1"/>
  <c r="F34" i="7"/>
  <c r="F33" i="7"/>
  <c r="F5" i="15" s="1"/>
  <c r="C19" i="10" l="1"/>
  <c r="I114" i="4"/>
  <c r="H49" i="7"/>
  <c r="F43" i="7"/>
  <c r="H47" i="7"/>
  <c r="I108" i="4"/>
  <c r="D37" i="7"/>
  <c r="E37" i="7"/>
  <c r="H37" i="7" s="1"/>
  <c r="C37" i="7"/>
  <c r="D90" i="4"/>
  <c r="E90" i="4"/>
  <c r="C90" i="4"/>
  <c r="D84" i="4"/>
  <c r="E84" i="4"/>
  <c r="C84" i="4"/>
  <c r="D78" i="4"/>
  <c r="E78" i="4"/>
  <c r="C78" i="4"/>
  <c r="D72" i="4"/>
  <c r="E72" i="4"/>
  <c r="C72" i="4"/>
  <c r="D53" i="7"/>
  <c r="E53" i="7"/>
  <c r="I53" i="7" s="1"/>
  <c r="C53" i="7"/>
  <c r="D52" i="7"/>
  <c r="E52" i="7"/>
  <c r="I52" i="7" s="1"/>
  <c r="F52" i="7"/>
  <c r="F55" i="7" s="1"/>
  <c r="C52" i="7"/>
  <c r="H50" i="7"/>
  <c r="D40" i="7"/>
  <c r="E40" i="7"/>
  <c r="H40" i="7" s="1"/>
  <c r="C40" i="7"/>
  <c r="D39" i="7"/>
  <c r="E39" i="7"/>
  <c r="H39" i="7" s="1"/>
  <c r="C39" i="7"/>
  <c r="F25" i="7"/>
  <c r="F20" i="7"/>
  <c r="G20" i="7"/>
  <c r="H20" i="7"/>
  <c r="I20" i="7"/>
  <c r="J20" i="7"/>
  <c r="K20" i="7"/>
  <c r="F21" i="7"/>
  <c r="G21" i="7"/>
  <c r="H21" i="7"/>
  <c r="I21" i="7"/>
  <c r="J21" i="7"/>
  <c r="K21" i="7"/>
  <c r="F14" i="7"/>
  <c r="F17" i="7"/>
  <c r="F12" i="7"/>
  <c r="F9" i="7"/>
  <c r="F8" i="7"/>
  <c r="L6" i="7"/>
  <c r="F5" i="7"/>
  <c r="F4" i="7"/>
  <c r="D55" i="7" l="1"/>
  <c r="C55" i="7"/>
  <c r="E34" i="7"/>
  <c r="D34" i="7"/>
  <c r="C34" i="7"/>
  <c r="C35" i="7"/>
  <c r="C4" i="15" s="1"/>
  <c r="E55" i="7"/>
  <c r="J114" i="4"/>
  <c r="I49" i="7"/>
  <c r="J108" i="4"/>
  <c r="I47" i="7"/>
  <c r="D33" i="7"/>
  <c r="D5" i="15" s="1"/>
  <c r="E36" i="7"/>
  <c r="D36" i="7"/>
  <c r="C79" i="4"/>
  <c r="E79" i="4"/>
  <c r="D79" i="4"/>
  <c r="E35" i="7"/>
  <c r="E4" i="15" s="1"/>
  <c r="C33" i="7"/>
  <c r="C5" i="15" s="1"/>
  <c r="D35" i="7"/>
  <c r="D4" i="15" s="1"/>
  <c r="E33" i="7"/>
  <c r="E5" i="15" s="1"/>
  <c r="C36" i="7"/>
  <c r="G50" i="7"/>
  <c r="G37" i="7"/>
  <c r="K37" i="7"/>
  <c r="J37" i="7"/>
  <c r="I37" i="7"/>
  <c r="H52" i="7"/>
  <c r="H53" i="7"/>
  <c r="G39" i="7"/>
  <c r="G40" i="7"/>
  <c r="K39" i="7"/>
  <c r="K40" i="7"/>
  <c r="K50" i="7"/>
  <c r="G52" i="7"/>
  <c r="G53" i="7"/>
  <c r="J39" i="7"/>
  <c r="J40" i="7"/>
  <c r="J50" i="7"/>
  <c r="K52" i="7"/>
  <c r="K53" i="7"/>
  <c r="I39" i="7"/>
  <c r="I40" i="7"/>
  <c r="I50" i="7"/>
  <c r="J52" i="7"/>
  <c r="J53" i="7"/>
  <c r="F6" i="7"/>
  <c r="E65" i="4"/>
  <c r="D65" i="4"/>
  <c r="C65" i="4"/>
  <c r="F62" i="4"/>
  <c r="F64" i="4" s="1"/>
  <c r="E25" i="4"/>
  <c r="D25" i="4"/>
  <c r="C25" i="4"/>
  <c r="E19" i="4"/>
  <c r="D19" i="4"/>
  <c r="C19" i="4"/>
  <c r="K56" i="4"/>
  <c r="J56" i="4"/>
  <c r="I56" i="4"/>
  <c r="H56" i="4"/>
  <c r="G56" i="4"/>
  <c r="K50" i="4"/>
  <c r="J50" i="4"/>
  <c r="I50" i="4"/>
  <c r="H50" i="4"/>
  <c r="G50" i="4"/>
  <c r="K44" i="4"/>
  <c r="J44" i="4"/>
  <c r="I44" i="4"/>
  <c r="H44" i="4"/>
  <c r="G44" i="4"/>
  <c r="K38" i="4"/>
  <c r="J38" i="4"/>
  <c r="I38" i="4"/>
  <c r="H38" i="4"/>
  <c r="G38" i="4"/>
  <c r="K32" i="4"/>
  <c r="J32" i="4"/>
  <c r="I32" i="4"/>
  <c r="H32" i="4"/>
  <c r="G32" i="4"/>
  <c r="K26" i="4"/>
  <c r="J26" i="4"/>
  <c r="I26" i="4"/>
  <c r="H26" i="4"/>
  <c r="G26" i="4"/>
  <c r="K20" i="4"/>
  <c r="J20" i="4"/>
  <c r="I20" i="4"/>
  <c r="H20" i="4"/>
  <c r="G20" i="4"/>
  <c r="K14" i="4"/>
  <c r="J14" i="4"/>
  <c r="I14" i="4"/>
  <c r="H14" i="4"/>
  <c r="G14" i="4"/>
  <c r="H8" i="4"/>
  <c r="I8" i="4"/>
  <c r="J8" i="4"/>
  <c r="K8" i="4"/>
  <c r="G8" i="4"/>
  <c r="O29" i="19"/>
  <c r="P29" i="19"/>
  <c r="N29" i="19"/>
  <c r="E55" i="4"/>
  <c r="D55" i="4"/>
  <c r="C55" i="4"/>
  <c r="E49" i="4"/>
  <c r="D49" i="4"/>
  <c r="C49" i="4"/>
  <c r="E37" i="4"/>
  <c r="D37" i="4"/>
  <c r="C37" i="4"/>
  <c r="E31" i="4"/>
  <c r="D31" i="4"/>
  <c r="C31" i="4"/>
  <c r="E7" i="15" l="1"/>
  <c r="C7" i="15"/>
  <c r="C21" i="7"/>
  <c r="D12" i="7"/>
  <c r="E12" i="7"/>
  <c r="C12" i="7"/>
  <c r="F10" i="7"/>
  <c r="F15" i="7" s="1"/>
  <c r="F4" i="12"/>
  <c r="K114" i="4"/>
  <c r="J49" i="7"/>
  <c r="D97" i="4"/>
  <c r="D11" i="15" s="1"/>
  <c r="E97" i="4"/>
  <c r="E11" i="15" s="1"/>
  <c r="D9" i="7"/>
  <c r="D85" i="4"/>
  <c r="D10" i="15" s="1"/>
  <c r="E9" i="7"/>
  <c r="E85" i="4"/>
  <c r="E10" i="15" s="1"/>
  <c r="C9" i="7"/>
  <c r="C85" i="4"/>
  <c r="C10" i="15" s="1"/>
  <c r="C97" i="4"/>
  <c r="C11" i="15" s="1"/>
  <c r="K108" i="4"/>
  <c r="J47" i="7"/>
  <c r="E43" i="7"/>
  <c r="E57" i="7" s="1"/>
  <c r="C43" i="7"/>
  <c r="C57" i="7" s="1"/>
  <c r="D43" i="7"/>
  <c r="D57" i="7" s="1"/>
  <c r="F63" i="4"/>
  <c r="F66" i="4"/>
  <c r="F67" i="4" s="1"/>
  <c r="D8" i="7"/>
  <c r="D50" i="4"/>
  <c r="D21" i="7"/>
  <c r="E50" i="4"/>
  <c r="E21" i="7"/>
  <c r="E8" i="7"/>
  <c r="C17" i="7"/>
  <c r="C14" i="7"/>
  <c r="E103" i="4"/>
  <c r="E25" i="7"/>
  <c r="D103" i="4"/>
  <c r="D25" i="7"/>
  <c r="D14" i="7"/>
  <c r="D17" i="7"/>
  <c r="C103" i="4"/>
  <c r="C25" i="7"/>
  <c r="E14" i="7"/>
  <c r="E17" i="7"/>
  <c r="C8" i="7"/>
  <c r="D43" i="4"/>
  <c r="E43" i="4"/>
  <c r="C43" i="4"/>
  <c r="D13" i="4"/>
  <c r="E13" i="4"/>
  <c r="C13" i="4"/>
  <c r="D7" i="4"/>
  <c r="E7" i="4"/>
  <c r="C7" i="4"/>
  <c r="K47" i="7" l="1"/>
  <c r="K49" i="7"/>
  <c r="E5" i="7"/>
  <c r="D5" i="7"/>
  <c r="C20" i="7"/>
  <c r="C130" i="4"/>
  <c r="C124" i="4"/>
  <c r="E124" i="4"/>
  <c r="E130" i="4"/>
  <c r="D124" i="4"/>
  <c r="D130" i="4"/>
  <c r="F18" i="7"/>
  <c r="F5" i="12"/>
  <c r="E4" i="7"/>
  <c r="E6" i="7" s="1"/>
  <c r="E73" i="4"/>
  <c r="E9" i="15" s="1"/>
  <c r="E91" i="4"/>
  <c r="E20" i="4"/>
  <c r="C62" i="4"/>
  <c r="C64" i="4" s="1"/>
  <c r="C66" i="4" s="1"/>
  <c r="C4" i="7"/>
  <c r="C73" i="4"/>
  <c r="C9" i="15" s="1"/>
  <c r="C91" i="4"/>
  <c r="D44" i="4"/>
  <c r="D20" i="7"/>
  <c r="D4" i="7"/>
  <c r="D73" i="4"/>
  <c r="D9" i="15" s="1"/>
  <c r="D91" i="4"/>
  <c r="C26" i="4"/>
  <c r="C5" i="7"/>
  <c r="E44" i="4"/>
  <c r="E20" i="7"/>
  <c r="G7" i="4"/>
  <c r="E62" i="4"/>
  <c r="E64" i="4" s="1"/>
  <c r="E8" i="4"/>
  <c r="E38" i="4"/>
  <c r="E32" i="4"/>
  <c r="C38" i="4"/>
  <c r="D8" i="4"/>
  <c r="D62" i="4"/>
  <c r="D64" i="4" s="1"/>
  <c r="D38" i="4"/>
  <c r="D20" i="4"/>
  <c r="E14" i="4"/>
  <c r="G13" i="4"/>
  <c r="E26" i="4"/>
  <c r="C20" i="4"/>
  <c r="D32" i="4"/>
  <c r="D14" i="4"/>
  <c r="D26" i="4"/>
  <c r="C32" i="4"/>
  <c r="P24" i="19"/>
  <c r="P27" i="19" s="1"/>
  <c r="G10" i="18"/>
  <c r="G18" i="18" s="1"/>
  <c r="G22" i="18" s="1"/>
  <c r="G25" i="18" s="1"/>
  <c r="F10" i="18"/>
  <c r="F18" i="18" s="1"/>
  <c r="F22" i="18" s="1"/>
  <c r="F25" i="18" s="1"/>
  <c r="H6" i="18"/>
  <c r="H10" i="18" s="1"/>
  <c r="H18" i="18" s="1"/>
  <c r="O27" i="19"/>
  <c r="N27" i="19"/>
  <c r="O4" i="14"/>
  <c r="N4" i="14"/>
  <c r="M4" i="14"/>
  <c r="K4" i="14"/>
  <c r="D6" i="7" l="1"/>
  <c r="F28" i="18"/>
  <c r="C142" i="4"/>
  <c r="G28" i="18"/>
  <c r="D142" i="4"/>
  <c r="G5" i="7"/>
  <c r="D10" i="7"/>
  <c r="D15" i="7" s="1"/>
  <c r="D4" i="12"/>
  <c r="E10" i="7"/>
  <c r="E15" i="7" s="1"/>
  <c r="E4" i="12"/>
  <c r="F22" i="7"/>
  <c r="F27" i="7" s="1"/>
  <c r="F4" i="9" s="1"/>
  <c r="F10" i="9" s="1"/>
  <c r="F24" i="9" s="1"/>
  <c r="F39" i="9"/>
  <c r="F41" i="9" s="1"/>
  <c r="F46" i="9" s="1"/>
  <c r="F8" i="10" s="1"/>
  <c r="G129" i="4"/>
  <c r="G13" i="9" s="1"/>
  <c r="G123" i="4"/>
  <c r="G8" i="9" s="1"/>
  <c r="G45" i="9" s="1"/>
  <c r="H22" i="18"/>
  <c r="H25" i="18" s="1"/>
  <c r="G4" i="7"/>
  <c r="G90" i="4"/>
  <c r="G72" i="4"/>
  <c r="C6" i="7"/>
  <c r="C67" i="4"/>
  <c r="C56" i="4"/>
  <c r="C63" i="4"/>
  <c r="H13" i="4"/>
  <c r="G25" i="4"/>
  <c r="H7" i="4"/>
  <c r="G31" i="4"/>
  <c r="G19" i="4"/>
  <c r="G37" i="4"/>
  <c r="D66" i="4"/>
  <c r="D63" i="4"/>
  <c r="E66" i="4"/>
  <c r="E63" i="4"/>
  <c r="D7" i="15"/>
  <c r="G6" i="7" l="1"/>
  <c r="H28" i="18"/>
  <c r="E142" i="4"/>
  <c r="G12" i="7"/>
  <c r="C6" i="14" s="1"/>
  <c r="N3" i="14" s="1"/>
  <c r="G33" i="7"/>
  <c r="G5" i="15" s="1"/>
  <c r="G36" i="7"/>
  <c r="G7" i="9"/>
  <c r="G43" i="9" s="1"/>
  <c r="H5" i="7"/>
  <c r="C10" i="7"/>
  <c r="C15" i="7" s="1"/>
  <c r="C4" i="12"/>
  <c r="E18" i="7"/>
  <c r="C3" i="14"/>
  <c r="K2" i="14" s="1"/>
  <c r="L2" i="14" s="1"/>
  <c r="E5" i="12"/>
  <c r="E6" i="12" s="1"/>
  <c r="C4" i="14"/>
  <c r="L3" i="14" s="1"/>
  <c r="G4" i="12"/>
  <c r="D18" i="7"/>
  <c r="D5" i="12"/>
  <c r="D6" i="12" s="1"/>
  <c r="H123" i="4"/>
  <c r="H8" i="9" s="1"/>
  <c r="H45" i="9" s="1"/>
  <c r="H129" i="4"/>
  <c r="H13" i="9" s="1"/>
  <c r="G15" i="9"/>
  <c r="G44" i="9"/>
  <c r="G9" i="7"/>
  <c r="G84" i="4"/>
  <c r="H4" i="7"/>
  <c r="H90" i="4"/>
  <c r="H72" i="4"/>
  <c r="G8" i="7"/>
  <c r="G96" i="4"/>
  <c r="G17" i="7"/>
  <c r="G14" i="7"/>
  <c r="G62" i="4"/>
  <c r="G64" i="4" s="1"/>
  <c r="D67" i="4"/>
  <c r="D56" i="4"/>
  <c r="I7" i="4"/>
  <c r="H31" i="4"/>
  <c r="H37" i="4"/>
  <c r="H19" i="4"/>
  <c r="E56" i="4"/>
  <c r="E67" i="4"/>
  <c r="I13" i="4"/>
  <c r="H25" i="4"/>
  <c r="H6" i="7" l="1"/>
  <c r="H4" i="12" s="1"/>
  <c r="M3" i="14"/>
  <c r="H7" i="9"/>
  <c r="H43" i="9" s="1"/>
  <c r="G45" i="7"/>
  <c r="G6" i="15" s="1"/>
  <c r="H12" i="7"/>
  <c r="G38" i="7"/>
  <c r="G35" i="7"/>
  <c r="G4" i="15" s="1"/>
  <c r="H33" i="7"/>
  <c r="H5" i="15" s="1"/>
  <c r="H36" i="7"/>
  <c r="I5" i="7"/>
  <c r="D39" i="9"/>
  <c r="D22" i="7"/>
  <c r="C18" i="7"/>
  <c r="C22" i="7" s="1"/>
  <c r="C27" i="7" s="1"/>
  <c r="C5" i="12"/>
  <c r="C6" i="12" s="1"/>
  <c r="E39" i="9"/>
  <c r="E22" i="7"/>
  <c r="G66" i="4"/>
  <c r="G55" i="4" s="1"/>
  <c r="G141" i="4"/>
  <c r="G19" i="9" s="1"/>
  <c r="G22" i="9" s="1"/>
  <c r="H15" i="9"/>
  <c r="H44" i="9"/>
  <c r="I129" i="4"/>
  <c r="I13" i="9" s="1"/>
  <c r="I123" i="4"/>
  <c r="I8" i="9" s="1"/>
  <c r="I45" i="9" s="1"/>
  <c r="G10" i="7"/>
  <c r="G15" i="7" s="1"/>
  <c r="H8" i="7"/>
  <c r="H96" i="4"/>
  <c r="H9" i="7"/>
  <c r="H84" i="4"/>
  <c r="I4" i="7"/>
  <c r="I90" i="4"/>
  <c r="I72" i="4"/>
  <c r="G63" i="4"/>
  <c r="H17" i="7"/>
  <c r="H14" i="7"/>
  <c r="H62" i="4"/>
  <c r="H64" i="4" s="1"/>
  <c r="H141" i="4" s="1"/>
  <c r="H19" i="9" s="1"/>
  <c r="H22" i="9" s="1"/>
  <c r="I19" i="4"/>
  <c r="J7" i="4"/>
  <c r="I37" i="4"/>
  <c r="I31" i="4"/>
  <c r="J13" i="4"/>
  <c r="I25" i="4"/>
  <c r="G7" i="15" l="1"/>
  <c r="H38" i="7"/>
  <c r="M2" i="14"/>
  <c r="N2" i="14" s="1"/>
  <c r="O3" i="14" s="1"/>
  <c r="C24" i="7"/>
  <c r="G102" i="4"/>
  <c r="H45" i="7"/>
  <c r="H6" i="15" s="1"/>
  <c r="J5" i="7"/>
  <c r="I12" i="7"/>
  <c r="I33" i="7"/>
  <c r="I5" i="15" s="1"/>
  <c r="I7" i="9"/>
  <c r="I43" i="9" s="1"/>
  <c r="I36" i="7"/>
  <c r="I6" i="7"/>
  <c r="I4" i="12" s="1"/>
  <c r="H35" i="7"/>
  <c r="H4" i="15" s="1"/>
  <c r="D27" i="7"/>
  <c r="D4" i="9" s="1"/>
  <c r="D10" i="9" s="1"/>
  <c r="D24" i="9" s="1"/>
  <c r="D27" i="9" s="1"/>
  <c r="E29" i="9" s="1"/>
  <c r="E30" i="9" s="1"/>
  <c r="D24" i="7"/>
  <c r="D40" i="9" s="1"/>
  <c r="D41" i="9" s="1"/>
  <c r="D46" i="9" s="1"/>
  <c r="D8" i="10" s="1"/>
  <c r="E27" i="7"/>
  <c r="E4" i="9" s="1"/>
  <c r="E10" i="9" s="1"/>
  <c r="E24" i="9" s="1"/>
  <c r="E27" i="9" s="1"/>
  <c r="G29" i="9" s="1"/>
  <c r="G30" i="9" s="1"/>
  <c r="E24" i="7"/>
  <c r="G18" i="7"/>
  <c r="G39" i="9" s="1"/>
  <c r="C7" i="14"/>
  <c r="G5" i="12"/>
  <c r="G6" i="12" s="1"/>
  <c r="I15" i="9"/>
  <c r="I44" i="9"/>
  <c r="J123" i="4"/>
  <c r="J8" i="9" s="1"/>
  <c r="J45" i="9" s="1"/>
  <c r="J129" i="4"/>
  <c r="J13" i="9" s="1"/>
  <c r="H10" i="7"/>
  <c r="H15" i="7" s="1"/>
  <c r="I9" i="7"/>
  <c r="I84" i="4"/>
  <c r="J4" i="7"/>
  <c r="J72" i="4"/>
  <c r="J90" i="4"/>
  <c r="I96" i="4"/>
  <c r="I62" i="4"/>
  <c r="I64" i="4" s="1"/>
  <c r="I8" i="7"/>
  <c r="G67" i="4"/>
  <c r="G25" i="7"/>
  <c r="I14" i="7"/>
  <c r="I17" i="7"/>
  <c r="H63" i="4"/>
  <c r="H66" i="4"/>
  <c r="K13" i="4"/>
  <c r="J25" i="4"/>
  <c r="K7" i="4"/>
  <c r="J37" i="4"/>
  <c r="J31" i="4"/>
  <c r="J19" i="4"/>
  <c r="E40" i="9" l="1"/>
  <c r="E41" i="9" s="1"/>
  <c r="E46" i="9" s="1"/>
  <c r="E8" i="10" s="1"/>
  <c r="C15" i="26"/>
  <c r="C19" i="26" s="1"/>
  <c r="C4" i="10" s="1"/>
  <c r="G22" i="7"/>
  <c r="G24" i="7" s="1"/>
  <c r="G40" i="9" s="1"/>
  <c r="G41" i="9" s="1"/>
  <c r="G46" i="9" s="1"/>
  <c r="G8" i="10" s="1"/>
  <c r="I38" i="7"/>
  <c r="J36" i="7"/>
  <c r="I45" i="7"/>
  <c r="I6" i="15" s="1"/>
  <c r="J84" i="4"/>
  <c r="H7" i="15"/>
  <c r="J33" i="7"/>
  <c r="J5" i="15" s="1"/>
  <c r="G46" i="7"/>
  <c r="J12" i="7"/>
  <c r="J6" i="7"/>
  <c r="J4" i="12" s="1"/>
  <c r="J7" i="9"/>
  <c r="J43" i="9" s="1"/>
  <c r="I35" i="7"/>
  <c r="I4" i="15" s="1"/>
  <c r="H18" i="7"/>
  <c r="H22" i="7" s="1"/>
  <c r="H5" i="12"/>
  <c r="H6" i="12" s="1"/>
  <c r="J44" i="9"/>
  <c r="J15" i="9"/>
  <c r="K129" i="4"/>
  <c r="K13" i="9" s="1"/>
  <c r="K123" i="4"/>
  <c r="K8" i="9" s="1"/>
  <c r="K45" i="9" s="1"/>
  <c r="I66" i="4"/>
  <c r="I55" i="4" s="1"/>
  <c r="I141" i="4"/>
  <c r="I19" i="9" s="1"/>
  <c r="I22" i="9" s="1"/>
  <c r="I10" i="7"/>
  <c r="I15" i="7" s="1"/>
  <c r="K4" i="7"/>
  <c r="K72" i="4"/>
  <c r="K90" i="4"/>
  <c r="J8" i="7"/>
  <c r="J96" i="4"/>
  <c r="J62" i="4"/>
  <c r="J64" i="4" s="1"/>
  <c r="J9" i="7"/>
  <c r="I63" i="4"/>
  <c r="J14" i="7"/>
  <c r="J17" i="7"/>
  <c r="G27" i="7"/>
  <c r="K25" i="4"/>
  <c r="K5" i="7"/>
  <c r="K31" i="4"/>
  <c r="K19" i="4"/>
  <c r="K37" i="4"/>
  <c r="H55" i="4"/>
  <c r="G10" i="10" l="1"/>
  <c r="H39" i="9"/>
  <c r="I10" i="10"/>
  <c r="K10" i="10"/>
  <c r="J10" i="10"/>
  <c r="H10" i="10"/>
  <c r="G11" i="10"/>
  <c r="I7" i="15"/>
  <c r="J38" i="7"/>
  <c r="K36" i="7"/>
  <c r="K33" i="7"/>
  <c r="K5" i="15" s="1"/>
  <c r="I102" i="4"/>
  <c r="H102" i="4"/>
  <c r="K7" i="9"/>
  <c r="K43" i="9" s="1"/>
  <c r="K12" i="7"/>
  <c r="J45" i="7"/>
  <c r="J6" i="15" s="1"/>
  <c r="J35" i="7"/>
  <c r="J4" i="15" s="1"/>
  <c r="C4" i="13"/>
  <c r="I18" i="7"/>
  <c r="I22" i="7" s="1"/>
  <c r="I5" i="12"/>
  <c r="I6" i="12" s="1"/>
  <c r="K15" i="9"/>
  <c r="K44" i="9"/>
  <c r="J63" i="4"/>
  <c r="J141" i="4"/>
  <c r="J19" i="9" s="1"/>
  <c r="J22" i="9" s="1"/>
  <c r="K6" i="7"/>
  <c r="K4" i="12" s="1"/>
  <c r="G4" i="9"/>
  <c r="G10" i="9" s="1"/>
  <c r="G24" i="9" s="1"/>
  <c r="G27" i="9" s="1"/>
  <c r="J66" i="4"/>
  <c r="J55" i="4" s="1"/>
  <c r="K9" i="7"/>
  <c r="K84" i="4"/>
  <c r="K96" i="4"/>
  <c r="J10" i="7"/>
  <c r="J15" i="7" s="1"/>
  <c r="I67" i="4"/>
  <c r="I25" i="7"/>
  <c r="K62" i="4"/>
  <c r="K64" i="4" s="1"/>
  <c r="K8" i="7"/>
  <c r="H67" i="4"/>
  <c r="H25" i="7"/>
  <c r="K14" i="7"/>
  <c r="K17" i="7"/>
  <c r="C5" i="13" l="1"/>
  <c r="I39" i="9"/>
  <c r="J102" i="4"/>
  <c r="K38" i="7"/>
  <c r="J7" i="15"/>
  <c r="K45" i="7"/>
  <c r="K6" i="15" s="1"/>
  <c r="H46" i="7"/>
  <c r="K35" i="7"/>
  <c r="K4" i="15" s="1"/>
  <c r="I46" i="7"/>
  <c r="J18" i="7"/>
  <c r="J22" i="7" s="1"/>
  <c r="J5" i="12"/>
  <c r="J6" i="12" s="1"/>
  <c r="I24" i="7"/>
  <c r="I40" i="9" s="1"/>
  <c r="I41" i="9" s="1"/>
  <c r="I46" i="9" s="1"/>
  <c r="I8" i="10" s="1"/>
  <c r="G78" i="4"/>
  <c r="G41" i="7"/>
  <c r="K66" i="4"/>
  <c r="K55" i="4" s="1"/>
  <c r="K141" i="4"/>
  <c r="K19" i="9" s="1"/>
  <c r="K22" i="9" s="1"/>
  <c r="H26" i="9"/>
  <c r="K10" i="7"/>
  <c r="K15" i="7" s="1"/>
  <c r="K63" i="4"/>
  <c r="J67" i="4"/>
  <c r="J25" i="7"/>
  <c r="I27" i="7"/>
  <c r="I4" i="9" s="1"/>
  <c r="I10" i="9" s="1"/>
  <c r="I24" i="9" s="1"/>
  <c r="H24" i="7"/>
  <c r="H40" i="9" s="1"/>
  <c r="H41" i="9" s="1"/>
  <c r="H46" i="9" s="1"/>
  <c r="H8" i="10" s="1"/>
  <c r="H27" i="7"/>
  <c r="G34" i="7" l="1"/>
  <c r="G43" i="7" s="1"/>
  <c r="J39" i="9"/>
  <c r="J46" i="7"/>
  <c r="K7" i="15"/>
  <c r="K102" i="4"/>
  <c r="I11" i="10"/>
  <c r="E5" i="13" s="1"/>
  <c r="E4" i="13"/>
  <c r="K18" i="7"/>
  <c r="K22" i="7" s="1"/>
  <c r="K5" i="12"/>
  <c r="K6" i="12" s="1"/>
  <c r="H11" i="10"/>
  <c r="D4" i="13"/>
  <c r="H29" i="9"/>
  <c r="H30" i="9" s="1"/>
  <c r="H4" i="9"/>
  <c r="H10" i="9" s="1"/>
  <c r="H24" i="9" s="1"/>
  <c r="H27" i="9" s="1"/>
  <c r="K67" i="4"/>
  <c r="K25" i="7"/>
  <c r="J24" i="7"/>
  <c r="J40" i="9" s="1"/>
  <c r="J41" i="9" s="1"/>
  <c r="J46" i="9" s="1"/>
  <c r="J8" i="10" s="1"/>
  <c r="J27" i="7"/>
  <c r="D5" i="13" l="1"/>
  <c r="G51" i="7"/>
  <c r="G55" i="7" s="1"/>
  <c r="G57" i="7" s="1"/>
  <c r="K39" i="9"/>
  <c r="K46" i="7"/>
  <c r="J11" i="10"/>
  <c r="F5" i="13" s="1"/>
  <c r="F4" i="13"/>
  <c r="H78" i="4"/>
  <c r="H41" i="7"/>
  <c r="I26" i="9"/>
  <c r="J4" i="9"/>
  <c r="J10" i="9" s="1"/>
  <c r="J24" i="9" s="1"/>
  <c r="K24" i="7"/>
  <c r="K40" i="9" s="1"/>
  <c r="K27" i="7"/>
  <c r="K41" i="9" l="1"/>
  <c r="K46" i="9" s="1"/>
  <c r="K8" i="10" s="1"/>
  <c r="C16" i="10" s="1"/>
  <c r="C17" i="10" s="1"/>
  <c r="H34" i="7"/>
  <c r="H43" i="7" s="1"/>
  <c r="G4" i="13"/>
  <c r="K11" i="10"/>
  <c r="C15" i="10" s="1"/>
  <c r="I29" i="9"/>
  <c r="I30" i="9" s="1"/>
  <c r="I27" i="9"/>
  <c r="K4" i="9"/>
  <c r="K10" i="9" s="1"/>
  <c r="K24" i="9" s="1"/>
  <c r="H51" i="7" l="1"/>
  <c r="H55" i="7" s="1"/>
  <c r="H57" i="7" s="1"/>
  <c r="C18" i="10"/>
  <c r="G5" i="13"/>
  <c r="I78" i="4"/>
  <c r="I41" i="7"/>
  <c r="J26" i="9"/>
  <c r="I34" i="7" l="1"/>
  <c r="I43" i="7" s="1"/>
  <c r="C21" i="10"/>
  <c r="C22" i="10" s="1"/>
  <c r="E17" i="10"/>
  <c r="E15" i="10"/>
  <c r="G21" i="10"/>
  <c r="J29" i="9"/>
  <c r="J30" i="9" s="1"/>
  <c r="J27" i="9"/>
  <c r="I51" i="7" l="1"/>
  <c r="I55" i="7" s="1"/>
  <c r="I57" i="7" s="1"/>
  <c r="J78" i="4"/>
  <c r="J41" i="7"/>
  <c r="K26" i="9"/>
  <c r="J34" i="7" l="1"/>
  <c r="J43" i="7" s="1"/>
  <c r="K27" i="9"/>
  <c r="K29" i="9"/>
  <c r="K30" i="9" s="1"/>
  <c r="J51" i="7" l="1"/>
  <c r="J55" i="7" s="1"/>
  <c r="J57" i="7" s="1"/>
  <c r="K41" i="7"/>
  <c r="K78" i="4"/>
  <c r="K34" i="7" l="1"/>
  <c r="K43" i="7" s="1"/>
  <c r="K51" i="7" l="1"/>
  <c r="K55" i="7" s="1"/>
  <c r="K57" i="7" s="1"/>
</calcChain>
</file>

<file path=xl/sharedStrings.xml><?xml version="1.0" encoding="utf-8"?>
<sst xmlns="http://schemas.openxmlformats.org/spreadsheetml/2006/main" count="771" uniqueCount="460">
  <si>
    <t>DCF Valuation</t>
  </si>
  <si>
    <t>Sheet index</t>
  </si>
  <si>
    <t xml:space="preserve">#                </t>
  </si>
  <si>
    <t>Worksheet</t>
  </si>
  <si>
    <t>P&amp;L assumptions</t>
  </si>
  <si>
    <t>BS assumptions</t>
  </si>
  <si>
    <t>P&amp;L</t>
  </si>
  <si>
    <t>Cash Flow</t>
  </si>
  <si>
    <t>DCF valuation</t>
  </si>
  <si>
    <t>Cash flows</t>
  </si>
  <si>
    <t>Ebitda bridge</t>
  </si>
  <si>
    <t>Working capital</t>
  </si>
  <si>
    <t>DCF results</t>
  </si>
  <si>
    <t>P&amp;L source</t>
  </si>
  <si>
    <t>BS source</t>
  </si>
  <si>
    <t>Scenarios:</t>
  </si>
  <si>
    <t>Case 1:</t>
  </si>
  <si>
    <t>Case 2:</t>
  </si>
  <si>
    <t>Selected case</t>
  </si>
  <si>
    <t>Case 3:</t>
  </si>
  <si>
    <t>Revenues</t>
  </si>
  <si>
    <t>y-o-y growth%</t>
  </si>
  <si>
    <t>y-o-y growth %</t>
  </si>
  <si>
    <t>Case 1</t>
  </si>
  <si>
    <t>Case 2</t>
  </si>
  <si>
    <t>Case 3</t>
  </si>
  <si>
    <t>Operating expenses</t>
  </si>
  <si>
    <t>D&amp;A</t>
  </si>
  <si>
    <t>% of EBT</t>
  </si>
  <si>
    <t>as a % of revenue</t>
  </si>
  <si>
    <t>Note</t>
  </si>
  <si>
    <t>Total revenues</t>
  </si>
  <si>
    <t>Gross margin</t>
  </si>
  <si>
    <t>EBITDA</t>
  </si>
  <si>
    <t>EBIT</t>
  </si>
  <si>
    <t>EBT</t>
  </si>
  <si>
    <t>Tax rate</t>
  </si>
  <si>
    <t>Net income</t>
  </si>
  <si>
    <t>Balance Sheet</t>
  </si>
  <si>
    <t>Cash and equivalents</t>
  </si>
  <si>
    <t>Total Assets</t>
  </si>
  <si>
    <t>Total Liabilities &amp; Equities</t>
  </si>
  <si>
    <t>Check</t>
  </si>
  <si>
    <t>UFCF</t>
  </si>
  <si>
    <t>WACC</t>
  </si>
  <si>
    <t>Discount factor</t>
  </si>
  <si>
    <t>Present value of UFCF</t>
  </si>
  <si>
    <t>PV of Cash flows</t>
  </si>
  <si>
    <t>$</t>
  </si>
  <si>
    <t>Continuing value</t>
  </si>
  <si>
    <t>PV of Continuing value</t>
  </si>
  <si>
    <t>Enterprise value</t>
  </si>
  <si>
    <t>Cash</t>
  </si>
  <si>
    <t>Equity value</t>
  </si>
  <si>
    <t>Revenues &amp; EBITDA</t>
  </si>
  <si>
    <t>EBITDA%</t>
  </si>
  <si>
    <t>Delta Revenues</t>
  </si>
  <si>
    <t>Delta Opex</t>
  </si>
  <si>
    <t>DSO</t>
  </si>
  <si>
    <t>DIO</t>
  </si>
  <si>
    <t>DPO</t>
  </si>
  <si>
    <t>Scenario 1</t>
  </si>
  <si>
    <t>Scenario 2</t>
  </si>
  <si>
    <t>Scenario 3</t>
  </si>
  <si>
    <t>Enterprise Value</t>
  </si>
  <si>
    <t>CFs in Forecast period</t>
  </si>
  <si>
    <t>Continuing Value</t>
  </si>
  <si>
    <t>USD in thousands</t>
  </si>
  <si>
    <t>Net Income</t>
  </si>
  <si>
    <t>Retained earnings</t>
  </si>
  <si>
    <t>Total Equity</t>
  </si>
  <si>
    <t>Deferred taxes</t>
  </si>
  <si>
    <t>Total Liabilities &amp; Equity</t>
  </si>
  <si>
    <t>CF source</t>
  </si>
  <si>
    <t>1) Sources --&gt;</t>
  </si>
  <si>
    <t>2022
Act</t>
  </si>
  <si>
    <t>2023
Act</t>
  </si>
  <si>
    <t>2024
Act</t>
  </si>
  <si>
    <t>USD in millions</t>
  </si>
  <si>
    <t>Revenue from Product Sales</t>
  </si>
  <si>
    <t>Revenue from Services</t>
  </si>
  <si>
    <t>Total Revenue</t>
  </si>
  <si>
    <t>Cost of service</t>
  </si>
  <si>
    <t>Cost of sales</t>
  </si>
  <si>
    <t>Gross Profit</t>
  </si>
  <si>
    <t>Expenses</t>
  </si>
  <si>
    <t>Research &amp; engineering</t>
  </si>
  <si>
    <t>General &amp; administrative (SG&amp;A)</t>
  </si>
  <si>
    <t>Merger &amp; integration</t>
  </si>
  <si>
    <t>Interest (Finance cost)</t>
  </si>
  <si>
    <t>Interest &amp; other income, net (Finance income)</t>
  </si>
  <si>
    <t>Tax expense</t>
  </si>
  <si>
    <t>Net income attributable to noncontrolling interests</t>
  </si>
  <si>
    <t>Net income attributable to SLB</t>
  </si>
  <si>
    <t>Basic EPS of SLB</t>
  </si>
  <si>
    <t>Diluted EPS of SLB</t>
  </si>
  <si>
    <t>Average shares oustanding:</t>
  </si>
  <si>
    <t>Basic</t>
  </si>
  <si>
    <t>Assuming dilution</t>
  </si>
  <si>
    <t xml:space="preserve">USD in millions </t>
  </si>
  <si>
    <t>Current assets</t>
  </si>
  <si>
    <t>Non-current assets</t>
  </si>
  <si>
    <t>Current liabilities</t>
  </si>
  <si>
    <t>Short-term investments</t>
  </si>
  <si>
    <t>Receivables less allowance for doubtful accounts (2023-$337;2022-$340)</t>
  </si>
  <si>
    <t>Inventories</t>
  </si>
  <si>
    <t>Other current assets</t>
  </si>
  <si>
    <t>Investments in Affiliated Companies</t>
  </si>
  <si>
    <t>Goodwill</t>
  </si>
  <si>
    <t>Intangible Assets</t>
  </si>
  <si>
    <t>Other Assets</t>
  </si>
  <si>
    <t>Non-current liabilities</t>
  </si>
  <si>
    <t>Accounts payable and accrued liabilities</t>
  </si>
  <si>
    <t>Estimated liability for taxes on income</t>
  </si>
  <si>
    <t>Short-term borrowings and current portion of long-term debt</t>
  </si>
  <si>
    <t>Dividends payable</t>
  </si>
  <si>
    <t>Long-term Debt</t>
  </si>
  <si>
    <t>Postretirement Benefits</t>
  </si>
  <si>
    <t>Deferred Taxes</t>
  </si>
  <si>
    <t>Other Liabilities</t>
  </si>
  <si>
    <t>Common stock</t>
  </si>
  <si>
    <t>Treasury stock</t>
  </si>
  <si>
    <t>Accumulated other comprehensive loss</t>
  </si>
  <si>
    <t>SLB stockholders' equity</t>
  </si>
  <si>
    <t>Noncontrolling interests</t>
  </si>
  <si>
    <t>Adjustments to reconcile net income to cash provided by operating activities:</t>
  </si>
  <si>
    <t>Charges and credits</t>
  </si>
  <si>
    <t>Depreciation and amortization (D&amp;A)</t>
  </si>
  <si>
    <t>Stock-based compensation expense</t>
  </si>
  <si>
    <t>Earnings of equity method investments, less dividends received</t>
  </si>
  <si>
    <t>Change in assets and liabilities:</t>
  </si>
  <si>
    <t>Cash flows from operating activities (CFO):</t>
  </si>
  <si>
    <t>Increase in receivables</t>
  </si>
  <si>
    <t>Increase in inventories</t>
  </si>
  <si>
    <t>Decrease (increase) in other current assets</t>
  </si>
  <si>
    <t>Decrease (increase) in other assets</t>
  </si>
  <si>
    <t>Decrease (increase) in accounts payable and accrued liabilities</t>
  </si>
  <si>
    <t>(Decrease) increase in estimated liability for taxes on income</t>
  </si>
  <si>
    <t>Increase (decrease) in other liabilities</t>
  </si>
  <si>
    <t>Other</t>
  </si>
  <si>
    <t>Net Cash provided by Operating activities (CFO)</t>
  </si>
  <si>
    <t>Cash flows from investing activities (CFI):</t>
  </si>
  <si>
    <t>Capital expenditures (CapEx)</t>
  </si>
  <si>
    <t>APS investments</t>
  </si>
  <si>
    <t>Exploration data capitalized</t>
  </si>
  <si>
    <t>Business acquisitions and investments, net of cash acquired</t>
  </si>
  <si>
    <t>(Purchase) sale of short-term investments, net</t>
  </si>
  <si>
    <t>Purchase of Blue Chip Swap securities</t>
  </si>
  <si>
    <t>Proceeds from sales of Blue Chip Swap securities</t>
  </si>
  <si>
    <t>Proceeds from sale of Liberty shares</t>
  </si>
  <si>
    <t>Proceeds from sale of ADC shares</t>
  </si>
  <si>
    <t>Proceeds from sale of real estate</t>
  </si>
  <si>
    <t>Net Cash used in Investing activities (CFI)</t>
  </si>
  <si>
    <t>Cash flows from financing activities (CFF):</t>
  </si>
  <si>
    <t>Dividends paid</t>
  </si>
  <si>
    <t>Stock repurchase program</t>
  </si>
  <si>
    <t>Proceeds from employee stock purchase plan</t>
  </si>
  <si>
    <t>Proceeds from exercise of stock options</t>
  </si>
  <si>
    <t>Taxes paid on net-settled stock-based compensation awards</t>
  </si>
  <si>
    <t>Proceeds from issuance of long-term debt</t>
  </si>
  <si>
    <t>Net (decrease) increase in short-term borrowings</t>
  </si>
  <si>
    <t>Net Cash used in Financing activities (CFF)</t>
  </si>
  <si>
    <t>Net increase (decrease) in cash before translation effect</t>
  </si>
  <si>
    <t>Impact of changes in exchange rates on cash</t>
  </si>
  <si>
    <t>Cash, beginning of period</t>
  </si>
  <si>
    <t>Cash, end of period</t>
  </si>
  <si>
    <t>Repayment of long-term debt</t>
  </si>
  <si>
    <t>Optimistic</t>
  </si>
  <si>
    <t>Base</t>
  </si>
  <si>
    <t>Conservative</t>
  </si>
  <si>
    <t>Operating Expenses (OpEx) = Research &amp; engineering + SG&amp;A</t>
  </si>
  <si>
    <t>EBIT (Operating Income)</t>
  </si>
  <si>
    <t>Revenue from services</t>
  </si>
  <si>
    <t>Revenue from product sales</t>
  </si>
  <si>
    <t>% of Service Revenue</t>
  </si>
  <si>
    <t>% of Product sales revenue</t>
  </si>
  <si>
    <t>Finance income</t>
  </si>
  <si>
    <t>% of Average Cash Balance</t>
  </si>
  <si>
    <t>Finance costs</t>
  </si>
  <si>
    <t>% of Average Debt</t>
  </si>
  <si>
    <t>Tax Expense</t>
  </si>
  <si>
    <t>FY 2022
Actual</t>
  </si>
  <si>
    <t>FY 2023
Actual</t>
  </si>
  <si>
    <t>FY 2024
Actual</t>
  </si>
  <si>
    <t>FY 2025
Forecast</t>
  </si>
  <si>
    <t>FY 2026
Forecast</t>
  </si>
  <si>
    <t>FY 2027
Forecast</t>
  </si>
  <si>
    <t>FY 2028
Forecast</t>
  </si>
  <si>
    <t>FY 2029
Forecast</t>
  </si>
  <si>
    <t>% of Total revenue</t>
  </si>
  <si>
    <t>Debt = Long-term Debt + Short-term borrowings</t>
  </si>
  <si>
    <t>Forecast Item</t>
  </si>
  <si>
    <t>P&amp;L Assumptions</t>
  </si>
  <si>
    <t xml:space="preserve">Forecast Item </t>
  </si>
  <si>
    <t>Notes</t>
  </si>
  <si>
    <t>Revenue from services (y-o-y growth, %)</t>
  </si>
  <si>
    <t>Revenue from product sales (y-o-y growth, %)</t>
  </si>
  <si>
    <t>Cost of service (% of Service Revenue)</t>
  </si>
  <si>
    <t>Cost of sales (% of Product sales revenue)</t>
  </si>
  <si>
    <t>D&amp;A (% of Total revenue)</t>
  </si>
  <si>
    <t>Finance income (% of Average Cash Balance)</t>
  </si>
  <si>
    <t>Finance costs (% of Average Debt)</t>
  </si>
  <si>
    <t>Tax Expense (% of EBT)</t>
  </si>
  <si>
    <t>Operating expenses  (% of Total revenue)</t>
  </si>
  <si>
    <t>BS Assumptions</t>
  </si>
  <si>
    <t>Historical growth peaked in 2023; we moderate in Base, and soften in Conservative to reflect oil market cyclicality.</t>
  </si>
  <si>
    <t>Growth was very strong in 2023 (25.3%) and 2024 (21.5%); we scale it down across scenarios to capture normalization.</t>
  </si>
  <si>
    <t>Slight efficiency gains assumed in Optimistic, flat in Conservative. Stable historically.</t>
  </si>
  <si>
    <t>Gross margin is improving. Optimistic expects continued efficiency; Conservative assumes pricing pressure.</t>
  </si>
  <si>
    <t>Continued SG&amp;A discipline assumed in Optimistic. Conservative adds slight structural drag.</t>
  </si>
  <si>
    <t>D&amp;A decreasing slightly as % of revenue. Conservative assumes heavier CapEx loading.</t>
  </si>
  <si>
    <t>Historical implied yield is ~12–15% but likely due to special items. Forecast normalized to reflect cash yield environment.</t>
  </si>
  <si>
    <t>Historical range 4.2–4.3%. Slight deterioration in Conservative due to potential higher refinancing costs.</t>
  </si>
  <si>
    <t>Conservative assumes less tax optimization or higher statutory exposure.</t>
  </si>
  <si>
    <t>Non-recurring item, excluded from projections</t>
  </si>
  <si>
    <t>D&amp;A was omitted in P&amp;L source, in this step we add it back</t>
  </si>
  <si>
    <t>D&amp;A is subtracted from EBITDA to get EBIT</t>
  </si>
  <si>
    <t>Receivables</t>
  </si>
  <si>
    <t>Other Current Assets</t>
  </si>
  <si>
    <t>Net PP&amp;E</t>
  </si>
  <si>
    <t>Intangibles &amp; Goodwill</t>
  </si>
  <si>
    <t>Other Non-Current Assets</t>
  </si>
  <si>
    <t>Taxes Payable</t>
  </si>
  <si>
    <t>Short-term Borrowings</t>
  </si>
  <si>
    <t>Retained Earnings</t>
  </si>
  <si>
    <t>Non-controlling Interest</t>
  </si>
  <si>
    <t>Days Sales Outstanding (DSO)</t>
  </si>
  <si>
    <t>Days Inventory Outstanding (DIO)</t>
  </si>
  <si>
    <t>Flat</t>
  </si>
  <si>
    <t>Common Stock &amp; Treasury Stock</t>
  </si>
  <si>
    <t>Flat, usually no change unless issuance or repurchase planned.</t>
  </si>
  <si>
    <t>Flat, unless consolidation changes are planned</t>
  </si>
  <si>
    <t>Days Payable Outstanding (DPO)</t>
  </si>
  <si>
    <t>% of Tax Expense</t>
  </si>
  <si>
    <t>Short-term Investments</t>
  </si>
  <si>
    <t>as a % of Cash</t>
  </si>
  <si>
    <t>Fixed Assets less accumulated depreciation (Net PP&amp;E)</t>
  </si>
  <si>
    <t>Accounts Payable and accrued liabilities</t>
  </si>
  <si>
    <t>Receivables (DSO)</t>
  </si>
  <si>
    <t>Short-term Investments (as a % of Cash)</t>
  </si>
  <si>
    <t>Inventories (DIO)</t>
  </si>
  <si>
    <t>Other Current Assets (as a % of revenue)</t>
  </si>
  <si>
    <t>Prior year's Net PP&amp;E + CapEx - D&amp;A</t>
  </si>
  <si>
    <t>Accounts Payable and accrued liabilities (DPO)</t>
  </si>
  <si>
    <t>Taxes Payable (% of Tax Expense)</t>
  </si>
  <si>
    <t>Short-term Borrowings (% of Total Debt)</t>
  </si>
  <si>
    <t>Long-term Debt (Scenario-based amount)</t>
  </si>
  <si>
    <t>Stable to slightly improving collections in Optimistic; Conservative reflects potential slowdown or delayed client payments.</t>
  </si>
  <si>
    <t>Historical decline shows decreasing preference for STI; Conservative keeps more idle cash.</t>
  </si>
  <si>
    <t>Inventory turnover improves in Optimistic due to better efficiency; Conservative reflects sluggish sales or supply chain risk.</t>
  </si>
  <si>
    <t>Gradual decline historically; we assume leaner operations in Optimistic, moderate increase in Conservative.</t>
  </si>
  <si>
    <t>Optimistic reflects better supplier terms; Conservative includes faster settlement cycles or tighter supplier credit.</t>
  </si>
  <si>
    <t>Reflects cash tax timing and accrual treatment; Conservative assumes longer payables cycle or lag.</t>
  </si>
  <si>
    <t>Conservative assumes more rollover of debt or near-term liquidity pressure. Optimistic keeps most debt as LT.</t>
  </si>
  <si>
    <t>Capital structure aligned with FCF health — deleveraging in Optimistic, leverage increase in Conservative if needed.</t>
  </si>
  <si>
    <t>Scenario-based change in amount</t>
  </si>
  <si>
    <t>% of total previous year Debt</t>
  </si>
  <si>
    <t>Taxes Payable = Estimated liability for taxes on income + Deferred taxes</t>
  </si>
  <si>
    <t>Other Liabilities (+ Postretirement benefits &amp; Deferred taxes)</t>
  </si>
  <si>
    <t>CF Assumptions</t>
  </si>
  <si>
    <t>Cash Flow from Operating Activities (CFO):</t>
  </si>
  <si>
    <t>Change in Working Capital</t>
  </si>
  <si>
    <t>Cash Flow from Investing Activities (CFI):</t>
  </si>
  <si>
    <t>CapEx</t>
  </si>
  <si>
    <t>Cash Flow from Financing Activities (CFF):</t>
  </si>
  <si>
    <t>Dividends Paid</t>
  </si>
  <si>
    <t>Opening Cash</t>
  </si>
  <si>
    <t>Closing Cash</t>
  </si>
  <si>
    <t>Restructuring &amp; other</t>
  </si>
  <si>
    <t>Merger &amp; integration + Restructuring &amp; other</t>
  </si>
  <si>
    <t>Other non-cash adjustments</t>
  </si>
  <si>
    <t>Net cash provided by Operating activities (CFO)</t>
  </si>
  <si>
    <t>Other investing activities (Consolidated)</t>
  </si>
  <si>
    <t>Change in Debt (Net)</t>
  </si>
  <si>
    <t>Stock Issuance/Repurchase</t>
  </si>
  <si>
    <t>Other Financing activities</t>
  </si>
  <si>
    <t>Net cash used in Investing activities (CFI)</t>
  </si>
  <si>
    <t>Net cash used in Financing activities (CFF)</t>
  </si>
  <si>
    <t>Net Cash Flow (CFO + CFI + CFF)</t>
  </si>
  <si>
    <t>Change in working capital</t>
  </si>
  <si>
    <t>as a % of Net income</t>
  </si>
  <si>
    <t>Omitted</t>
  </si>
  <si>
    <t>Merger &amp; Integration + Restructuring &amp; other  (Expense)</t>
  </si>
  <si>
    <t>Merger &amp; Integration and Restructuring &amp; other expenses were treated as non-recurring and excluded from normalized EBIT and operating margin projections.</t>
  </si>
  <si>
    <t>Change in working capital (a % of revenue)</t>
  </si>
  <si>
    <t>CapEx (a % of revenue)</t>
  </si>
  <si>
    <t>Change in Debt (Net) (Scenario-based amount)</t>
  </si>
  <si>
    <t>Dividends paid ( a % of Net income)</t>
  </si>
  <si>
    <t>Stock Issuance/Repurchase (Scenario-based change in amount)</t>
  </si>
  <si>
    <t>Optimistic assumes working capital efficiency; Conservative assumes flat WC (no release or increase).</t>
  </si>
  <si>
    <t>Aligns with earlier P&amp;L and BS assumptions; reflects reinvestment intensity.</t>
  </si>
  <si>
    <t>Deleveraging in Optimistic, flat in Base, funding need in Conservative during cash strain.</t>
  </si>
  <si>
    <t>Historically ranged 24–33%; reflects capital discipline in Conservative, shareholder-friendly in Optimistic.</t>
  </si>
  <si>
    <t>Optimistic assumes continued buybacks, Base maintains light activity, Conservative suspends it.</t>
  </si>
  <si>
    <t>Historical average as flat</t>
  </si>
  <si>
    <t>Opening Cash_t+1 – Closing Cash_t</t>
  </si>
  <si>
    <t>Check row verifies year-over-year continuity in cash by comparing Opening Cash_t+1 against Closing Cash_t. A value of 0 confirms cash flow logic is sound.</t>
  </si>
  <si>
    <t>UFCF Calculation:</t>
  </si>
  <si>
    <t>Tax Rate</t>
  </si>
  <si>
    <t>EBIT*(1-Tax Rate)</t>
  </si>
  <si>
    <t>(+) D&amp;A</t>
  </si>
  <si>
    <t>(-) CapEx</t>
  </si>
  <si>
    <t>(-) Change in WC</t>
  </si>
  <si>
    <t>Unlevered Free Cash Flow = the cash the business generates before debt payments (cash available to both debt and equity holders)</t>
  </si>
  <si>
    <t>(-) Financial liabilities</t>
  </si>
  <si>
    <t>EBITDA FY24</t>
  </si>
  <si>
    <t>Delta Cost of revenue</t>
  </si>
  <si>
    <t>EBITDA FY25</t>
  </si>
  <si>
    <t>Payables</t>
  </si>
  <si>
    <t>The EBITDA Bridge (also called a “walk” or “waterfall”) is used to explain the movement in EBITDA between two periods (here, FY2024 to FY2025) by breaking it into key operational drivers</t>
  </si>
  <si>
    <t>We’re explaining how EBITDA changes year over year by showing how each component (revenue, cost, opex) contributes to the growth or decline.</t>
  </si>
  <si>
    <t>Assumptions</t>
  </si>
  <si>
    <t>P&amp;L and BS</t>
  </si>
  <si>
    <t>Revenues&amp;Ebitda</t>
  </si>
  <si>
    <t>2) Financial Statement Analysis --&gt;</t>
  </si>
  <si>
    <t>3) 3 Statement model --&gt;</t>
  </si>
  <si>
    <t>4) DCF Model --&gt;</t>
  </si>
  <si>
    <t>3) 3 Statement Model --&gt;</t>
  </si>
  <si>
    <t>6) Charts --&gt;</t>
  </si>
  <si>
    <t>Comparable Companies Analysis</t>
  </si>
  <si>
    <t>Revenue</t>
  </si>
  <si>
    <t>Ticker</t>
  </si>
  <si>
    <t>5) Comps Model --&gt;</t>
  </si>
  <si>
    <t>Comps Model</t>
  </si>
  <si>
    <t>Valuation</t>
  </si>
  <si>
    <t>2020
Act</t>
  </si>
  <si>
    <t>2021
Act</t>
  </si>
  <si>
    <t>Impairments &amp; other</t>
  </si>
  <si>
    <t>Financial Statement Analysis</t>
  </si>
  <si>
    <t>Key Financial Ratios (in USD millions)</t>
  </si>
  <si>
    <t>FY 2020
Actual</t>
  </si>
  <si>
    <t>FY 2021
Actual</t>
  </si>
  <si>
    <t>Profitability Ratios</t>
  </si>
  <si>
    <t>Gross Margin</t>
  </si>
  <si>
    <t>EBIT Margin</t>
  </si>
  <si>
    <t>Net Margin</t>
  </si>
  <si>
    <t>Return on Assets (ROA)</t>
  </si>
  <si>
    <t>Return on Equity (ROE)</t>
  </si>
  <si>
    <t>Efficiency Ratios</t>
  </si>
  <si>
    <t>Asset Turnover</t>
  </si>
  <si>
    <t>Receivables Turnover</t>
  </si>
  <si>
    <t>Inventory Turnover</t>
  </si>
  <si>
    <t>Liquidity Ratios</t>
  </si>
  <si>
    <t>Current Ratio</t>
  </si>
  <si>
    <t>Quick Ratio</t>
  </si>
  <si>
    <t>Leverage Ratios</t>
  </si>
  <si>
    <t>Formula</t>
  </si>
  <si>
    <t>Gross Profit / Revenue</t>
  </si>
  <si>
    <t>EBIT / Revenue</t>
  </si>
  <si>
    <t>Net Income / Revenue</t>
  </si>
  <si>
    <t>Net Income / Total Assets</t>
  </si>
  <si>
    <t>Net Income / Equity</t>
  </si>
  <si>
    <t>Revenue / Total Assets</t>
  </si>
  <si>
    <t>Revenue / Receivables</t>
  </si>
  <si>
    <t>COGS / Inventory</t>
  </si>
  <si>
    <t>Current Assets / Current Liabilities</t>
  </si>
  <si>
    <t>(Current Assets - Inventories) / Current Liabs</t>
  </si>
  <si>
    <t>Debt to Equity</t>
  </si>
  <si>
    <t>Interest Coverage Ratio</t>
  </si>
  <si>
    <t>Equity Ratio</t>
  </si>
  <si>
    <t>Total Debt / Equity</t>
  </si>
  <si>
    <t>EBIT / Interest Expense</t>
  </si>
  <si>
    <t>Equity / Total Assets</t>
  </si>
  <si>
    <t>Both metrics (ROA &amp; ROE) show consistent growth in capital returns.</t>
  </si>
  <si>
    <t>Asset turnover improve across the years</t>
  </si>
  <si>
    <t>Healthy liquidity maintained, slightly improved.</t>
  </si>
  <si>
    <t>Equity Ratio improves over the years</t>
  </si>
  <si>
    <r>
      <rPr>
        <b/>
        <i/>
        <sz val="9"/>
        <color rgb="FF002060"/>
        <rFont val="Arial"/>
        <family val="2"/>
      </rPr>
      <t>Gross Margins:</t>
    </r>
    <r>
      <rPr>
        <i/>
        <sz val="9"/>
        <color rgb="FF002060"/>
        <rFont val="Arial"/>
        <family val="2"/>
      </rPr>
      <t xml:space="preserve"> Margins improved steadily, indicating pricing power or cost control</t>
    </r>
  </si>
  <si>
    <t>EBIT Margin: Recovered strongly from 2020 loss, now stable above 15%</t>
  </si>
  <si>
    <t>Net Margin: Profitability stabilizing post-impairments, nearing 13%</t>
  </si>
  <si>
    <t>Receivables Turnover: Stable collection efficiency across the years.</t>
  </si>
  <si>
    <t>Inventory turnover: Increasing turnover suggests stronger demand or better inventory control.</t>
  </si>
  <si>
    <t>Debt to Equity: Deleveraging year over year; balance sheet stronger</t>
  </si>
  <si>
    <t>Interest Coverage Ratio: Significant recovery from 2020 loss; now comfortably covering interest.</t>
  </si>
  <si>
    <t>WACC = % of equity x cost of equity + % of debt x cost of debt x (1 - Tax Rate)</t>
  </si>
  <si>
    <t>Cost of equity = Risk free rate + Beta x Market Risk Premium</t>
  </si>
  <si>
    <t>% of Equity</t>
  </si>
  <si>
    <t>Cost of Equity</t>
  </si>
  <si>
    <t>Risk Free Rate</t>
  </si>
  <si>
    <t>Beta</t>
  </si>
  <si>
    <t>Market Risk Premium</t>
  </si>
  <si>
    <t>% of Debt</t>
  </si>
  <si>
    <t>Cost of Debt</t>
  </si>
  <si>
    <t>Total</t>
  </si>
  <si>
    <t>Date:21.06.2025</t>
  </si>
  <si>
    <t>Sources:</t>
  </si>
  <si>
    <t>Yahoo Finance</t>
  </si>
  <si>
    <t xml:space="preserve">Annual Company Reports </t>
  </si>
  <si>
    <t>companiesmarketcap.com</t>
  </si>
  <si>
    <t>Market Data (on 21.06.2025)</t>
  </si>
  <si>
    <t>Financials (FY2024) in USD millions</t>
  </si>
  <si>
    <t>Company</t>
  </si>
  <si>
    <t>Share 
Price ($)</t>
  </si>
  <si>
    <t>Shares Outstanding         (in millions)</t>
  </si>
  <si>
    <t>Equity Value (millions USD)</t>
  </si>
  <si>
    <t>Net Debt (millions USD)</t>
  </si>
  <si>
    <t>EV/Revenue</t>
  </si>
  <si>
    <t>EV/EBITDA</t>
  </si>
  <si>
    <t>P/E</t>
  </si>
  <si>
    <t>NOTE: ALL items will be converted to USD for simplification (concerns: Saudi Aramco, and PetroChina)</t>
  </si>
  <si>
    <t>US $1.00 = SAR 3.75</t>
  </si>
  <si>
    <t>US $1.00 =  7,3 CNY (RMB)</t>
  </si>
  <si>
    <t>High</t>
  </si>
  <si>
    <t>75th Percentile</t>
  </si>
  <si>
    <t>Average</t>
  </si>
  <si>
    <t>Median</t>
  </si>
  <si>
    <t>25th Percentile</t>
  </si>
  <si>
    <t>Low</t>
  </si>
  <si>
    <t>Implied Enterprise Value</t>
  </si>
  <si>
    <t>Net Debt</t>
  </si>
  <si>
    <t>Implied Market Value</t>
  </si>
  <si>
    <t>Shares Outstanding</t>
  </si>
  <si>
    <t>Implied Value Per Share</t>
  </si>
  <si>
    <t>Rationale behind the choice of companies</t>
  </si>
  <si>
    <t>Criteria</t>
  </si>
  <si>
    <t>Reason</t>
  </si>
  <si>
    <t>SLB Valuation</t>
  </si>
  <si>
    <t>SLB (US)</t>
  </si>
  <si>
    <t>Halliburton (US)</t>
  </si>
  <si>
    <t>HAL</t>
  </si>
  <si>
    <t>Baker Hughes Company (US)</t>
  </si>
  <si>
    <t>BKR</t>
  </si>
  <si>
    <t>Weatherford Intl (US)</t>
  </si>
  <si>
    <t>WFRD</t>
  </si>
  <si>
    <t>Tenaris S.A. (Europe)</t>
  </si>
  <si>
    <t>TS</t>
  </si>
  <si>
    <t>NOV Inc. (US)</t>
  </si>
  <si>
    <t>Industry: Oilfield Services / Oil &amp; Gas Equipment &amp; Services</t>
  </si>
  <si>
    <t>Geography: Global (but preference to U.S. and major players)</t>
  </si>
  <si>
    <t>Size: Similar revenue scale ($30B–$40B), EBITDA margins, and capex intensity</t>
  </si>
  <si>
    <t>Closest peer — direct competitor of SLB</t>
  </si>
  <si>
    <t>Similar service lines</t>
  </si>
  <si>
    <t>Smaller but within sector</t>
  </si>
  <si>
    <t>Supplier to same verticals</t>
  </si>
  <si>
    <t>Equipment-intensive O&amp;G peer</t>
  </si>
  <si>
    <t>Enterprise
Value        (millions USD)</t>
  </si>
  <si>
    <t>NOV</t>
  </si>
  <si>
    <t>Interpretation: SLB is fairly valued with a slight market premium ($41,79 vs. $35,84), which is normal since SLB is a mature, asset-heavy, globally exposed business.</t>
  </si>
  <si>
    <t>From the "Comps Model" sheet</t>
  </si>
  <si>
    <t>Market Cap (millions USD)</t>
  </si>
  <si>
    <t>Market Cap / (Market Cap + Debt)</t>
  </si>
  <si>
    <t>CAPM formula</t>
  </si>
  <si>
    <t>US 10Y Treasury (https://www.cnbc.com/quotes/US10Y)</t>
  </si>
  <si>
    <t>Net debt from "Comps Model" sheet</t>
  </si>
  <si>
    <t>Debt  (millions USD)</t>
  </si>
  <si>
    <t>From "P&amp;L and BS" sheet</t>
  </si>
  <si>
    <t>YahooFinance page of SLB (https://finance.yahoo.com/quote/SLB/key-statistics/)</t>
  </si>
  <si>
    <t>Standard range for mature markets</t>
  </si>
  <si>
    <t>SLB raises debt cheaply, bond yield</t>
  </si>
  <si>
    <t>Calculations from "WACC" sheet</t>
  </si>
  <si>
    <t>Ratios</t>
  </si>
  <si>
    <t>Schlumberger Valuation</t>
  </si>
  <si>
    <t>Inserted from the Closing Cash in "Cash Flow" sheet</t>
  </si>
  <si>
    <t>RE is residual, to balance the balance sheet (Formula: Retained Earnings = Prior Year + Net Income - Dividends; was not used due to misalignment in balance)</t>
  </si>
  <si>
    <t>Changes based on Case scenario (range from 1% to 2%)</t>
  </si>
  <si>
    <t>$ per share</t>
  </si>
  <si>
    <t>Perpetuity growth rate Assumptions</t>
  </si>
  <si>
    <t>Perpetuity growth rate (g)</t>
  </si>
  <si>
    <t>Perpetuity growth (g) assumption</t>
  </si>
  <si>
    <t>SLB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</si>
</sst>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-* #,##0.00_-;\-* #,##0.00_-;_-* &quot;-&quot;??_-;_-@_-"/>
    <numFmt numFmtId="164" formatCode="_(* #,##0.0_);_(* \(#,##0.0\);_(* &quot;-&quot;?_);@_)"/>
    <numFmt numFmtId="165" formatCode="_(* #,##0_);_(* \(#,##0\);_(* &quot;-&quot;?_);@_)"/>
    <numFmt numFmtId="166" formatCode="0.0%"/>
    <numFmt numFmtId="167" formatCode="_(* #,##0_);_(* \(#,##0\);_(* &quot;-&quot;??_);_(@_)"/>
    <numFmt numFmtId="168" formatCode="_(* #,##0.0_);_(* \(#,##0.0\);_(* &quot;-&quot;?_);@_l"/>
    <numFmt numFmtId="169" formatCode="_(* #,##0.00_);_(* \(#,##0.00\);_(* &quot;-&quot;??_);_(@_)"/>
    <numFmt numFmtId="170" formatCode="0.0"/>
    <numFmt numFmtId="171" formatCode="_(* #,##0.00_);_(* \(#,##0.00\);_(* &quot;-&quot;?_);@_)"/>
    <numFmt numFmtId="172" formatCode="_-[$$-409]* #,##0.00_ ;_-[$$-409]* \-#,##0.00\ ;_-[$$-409]* &quot;-&quot;??_ ;_-@_ "/>
    <numFmt numFmtId="173" formatCode="_(* #,##0.0000_);_(* \(#,##0.0000\);_(* &quot;-&quot;?_);@_)"/>
    <numFmt numFmtId="174" formatCode="_-[$$-540A]* #,##0.00_ ;_-[$$-540A]* \-#,##0.00\ ;_-[$$-540A]* &quot;-&quot;??_ ;_-@_ "/>
    <numFmt numFmtId="175" formatCode="_-* #,##0_-;\-* #,##0_-;_-* &quot;-&quot;??_-;_-@_-"/>
    <numFmt numFmtId="176" formatCode="#,##0.00\x"/>
    <numFmt numFmtId="177" formatCode="#,##0.0\x"/>
    <numFmt numFmtId="178" formatCode="_-* #,##0.00\ _€_-;\-* #,##0.00\ _€_-;_-* &quot;-&quot;??\ _€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3"/>
      <name val="Calibri"/>
      <family val="2"/>
      <scheme val="minor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2060"/>
      <name val="Arial"/>
      <family val="2"/>
    </font>
    <font>
      <b/>
      <sz val="32"/>
      <color rgb="FF002060"/>
      <name val="Arial"/>
      <family val="2"/>
    </font>
    <font>
      <i/>
      <sz val="8"/>
      <color theme="1"/>
      <name val="Arial"/>
      <family val="2"/>
    </font>
    <font>
      <b/>
      <sz val="9"/>
      <color theme="1"/>
      <name val="Arial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b/>
      <sz val="9"/>
      <color theme="0"/>
      <name val="Arial"/>
      <family val="2"/>
      <charset val="204"/>
    </font>
    <font>
      <sz val="9"/>
      <color theme="0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rgb="FF002060"/>
      <name val="Arial"/>
      <family val="2"/>
    </font>
    <font>
      <b/>
      <sz val="20"/>
      <color rgb="FF293D68"/>
      <name val="Calibri"/>
      <family val="2"/>
      <scheme val="minor"/>
    </font>
    <font>
      <b/>
      <sz val="12"/>
      <color indexed="9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9"/>
      <color rgb="FF002060"/>
      <name val="Arial"/>
      <family val="2"/>
    </font>
    <font>
      <i/>
      <sz val="9"/>
      <color rgb="FF00206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i/>
      <sz val="12"/>
      <color rgb="FF00206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2A3E68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2060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8">
    <xf numFmtId="0" fontId="0" fillId="0" borderId="0"/>
    <xf numFmtId="0" fontId="9" fillId="0" borderId="0" applyNumberFormat="0" applyFill="0" applyBorder="0" applyAlignment="0" applyProtection="0"/>
    <xf numFmtId="0" fontId="5" fillId="0" borderId="1" applyFill="0" applyProtection="0">
      <alignment horizontal="right" wrapText="1"/>
    </xf>
    <xf numFmtId="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26" fillId="0" borderId="0"/>
    <xf numFmtId="0" fontId="1" fillId="0" borderId="0"/>
  </cellStyleXfs>
  <cellXfs count="26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2" applyFill="1" applyAlignment="1">
      <alignment horizontal="left" wrapText="1"/>
    </xf>
    <xf numFmtId="0" fontId="6" fillId="3" borderId="0" xfId="0" applyFont="1" applyFill="1" applyAlignment="1">
      <alignment horizontal="left"/>
    </xf>
    <xf numFmtId="0" fontId="7" fillId="3" borderId="0" xfId="0" applyFont="1" applyFill="1"/>
    <xf numFmtId="0" fontId="8" fillId="2" borderId="0" xfId="0" applyFont="1" applyFill="1" applyAlignment="1">
      <alignment horizontal="left"/>
    </xf>
    <xf numFmtId="0" fontId="10" fillId="2" borderId="0" xfId="1" applyFont="1" applyFill="1"/>
    <xf numFmtId="0" fontId="11" fillId="2" borderId="0" xfId="0" applyFont="1" applyFill="1"/>
    <xf numFmtId="164" fontId="2" fillId="2" borderId="0" xfId="0" applyNumberFormat="1" applyFont="1" applyFill="1"/>
    <xf numFmtId="164" fontId="3" fillId="2" borderId="0" xfId="0" applyNumberFormat="1" applyFont="1" applyFill="1"/>
    <xf numFmtId="164" fontId="4" fillId="2" borderId="2" xfId="0" applyNumberFormat="1" applyFont="1" applyFill="1" applyBorder="1"/>
    <xf numFmtId="164" fontId="4" fillId="2" borderId="2" xfId="0" applyNumberFormat="1" applyFont="1" applyFill="1" applyBorder="1" applyAlignment="1">
      <alignment horizontal="right" wrapText="1"/>
    </xf>
    <xf numFmtId="164" fontId="4" fillId="2" borderId="0" xfId="0" applyNumberFormat="1" applyFont="1" applyFill="1" applyAlignment="1">
      <alignment horizontal="right" wrapText="1"/>
    </xf>
    <xf numFmtId="164" fontId="4" fillId="4" borderId="2" xfId="0" applyNumberFormat="1" applyFont="1" applyFill="1" applyBorder="1" applyAlignment="1">
      <alignment horizontal="right" wrapText="1"/>
    </xf>
    <xf numFmtId="165" fontId="3" fillId="2" borderId="0" xfId="0" applyNumberFormat="1" applyFont="1" applyFill="1"/>
    <xf numFmtId="165" fontId="3" fillId="4" borderId="0" xfId="0" applyNumberFormat="1" applyFont="1" applyFill="1"/>
    <xf numFmtId="166" fontId="3" fillId="2" borderId="0" xfId="3" applyNumberFormat="1" applyFont="1" applyFill="1"/>
    <xf numFmtId="9" fontId="3" fillId="4" borderId="0" xfId="3" applyFont="1" applyFill="1"/>
    <xf numFmtId="164" fontId="3" fillId="5" borderId="0" xfId="0" applyNumberFormat="1" applyFont="1" applyFill="1"/>
    <xf numFmtId="9" fontId="3" fillId="2" borderId="0" xfId="3" applyFont="1" applyFill="1"/>
    <xf numFmtId="164" fontId="12" fillId="2" borderId="0" xfId="0" applyNumberFormat="1" applyFont="1" applyFill="1"/>
    <xf numFmtId="164" fontId="3" fillId="4" borderId="0" xfId="0" applyNumberFormat="1" applyFont="1" applyFill="1"/>
    <xf numFmtId="166" fontId="12" fillId="2" borderId="0" xfId="3" applyNumberFormat="1" applyFont="1" applyFill="1"/>
    <xf numFmtId="164" fontId="4" fillId="2" borderId="2" xfId="0" applyNumberFormat="1" applyFont="1" applyFill="1" applyBorder="1" applyAlignment="1">
      <alignment wrapText="1"/>
    </xf>
    <xf numFmtId="164" fontId="4" fillId="2" borderId="3" xfId="0" applyNumberFormat="1" applyFont="1" applyFill="1" applyBorder="1"/>
    <xf numFmtId="165" fontId="4" fillId="2" borderId="3" xfId="0" applyNumberFormat="1" applyFont="1" applyFill="1" applyBorder="1"/>
    <xf numFmtId="164" fontId="4" fillId="2" borderId="0" xfId="0" applyNumberFormat="1" applyFont="1" applyFill="1"/>
    <xf numFmtId="165" fontId="10" fillId="2" borderId="0" xfId="0" applyNumberFormat="1" applyFont="1" applyFill="1"/>
    <xf numFmtId="164" fontId="7" fillId="3" borderId="0" xfId="0" applyNumberFormat="1" applyFont="1" applyFill="1"/>
    <xf numFmtId="165" fontId="7" fillId="3" borderId="0" xfId="0" applyNumberFormat="1" applyFont="1" applyFill="1"/>
    <xf numFmtId="164" fontId="4" fillId="2" borderId="4" xfId="0" applyNumberFormat="1" applyFont="1" applyFill="1" applyBorder="1"/>
    <xf numFmtId="165" fontId="4" fillId="2" borderId="4" xfId="0" applyNumberFormat="1" applyFont="1" applyFill="1" applyBorder="1"/>
    <xf numFmtId="168" fontId="2" fillId="2" borderId="0" xfId="0" applyNumberFormat="1" applyFont="1" applyFill="1"/>
    <xf numFmtId="168" fontId="3" fillId="2" borderId="0" xfId="0" applyNumberFormat="1" applyFont="1" applyFill="1"/>
    <xf numFmtId="168" fontId="3" fillId="4" borderId="0" xfId="0" applyNumberFormat="1" applyFont="1" applyFill="1"/>
    <xf numFmtId="168" fontId="4" fillId="2" borderId="0" xfId="0" applyNumberFormat="1" applyFont="1" applyFill="1"/>
    <xf numFmtId="168" fontId="4" fillId="4" borderId="0" xfId="0" applyNumberFormat="1" applyFont="1" applyFill="1"/>
    <xf numFmtId="164" fontId="16" fillId="2" borderId="0" xfId="0" applyNumberFormat="1" applyFont="1" applyFill="1"/>
    <xf numFmtId="168" fontId="8" fillId="2" borderId="0" xfId="0" applyNumberFormat="1" applyFont="1" applyFill="1"/>
    <xf numFmtId="165" fontId="8" fillId="2" borderId="0" xfId="0" applyNumberFormat="1" applyFont="1" applyFill="1"/>
    <xf numFmtId="166" fontId="17" fillId="3" borderId="0" xfId="3" applyNumberFormat="1" applyFont="1" applyFill="1"/>
    <xf numFmtId="169" fontId="3" fillId="4" borderId="0" xfId="4" applyFont="1" applyFill="1" applyBorder="1"/>
    <xf numFmtId="165" fontId="4" fillId="4" borderId="3" xfId="0" applyNumberFormat="1" applyFont="1" applyFill="1" applyBorder="1"/>
    <xf numFmtId="9" fontId="4" fillId="2" borderId="0" xfId="3" applyFont="1" applyFill="1"/>
    <xf numFmtId="164" fontId="13" fillId="2" borderId="3" xfId="0" applyNumberFormat="1" applyFont="1" applyFill="1" applyBorder="1"/>
    <xf numFmtId="165" fontId="18" fillId="2" borderId="0" xfId="0" applyNumberFormat="1" applyFont="1" applyFill="1"/>
    <xf numFmtId="167" fontId="3" fillId="2" borderId="0" xfId="4" applyNumberFormat="1" applyFont="1" applyFill="1"/>
    <xf numFmtId="167" fontId="3" fillId="4" borderId="0" xfId="4" applyNumberFormat="1" applyFont="1" applyFill="1"/>
    <xf numFmtId="166" fontId="3" fillId="4" borderId="0" xfId="3" applyNumberFormat="1" applyFont="1" applyFill="1"/>
    <xf numFmtId="0" fontId="19" fillId="2" borderId="3" xfId="0" applyFont="1" applyFill="1" applyBorder="1"/>
    <xf numFmtId="167" fontId="19" fillId="2" borderId="3" xfId="4" applyNumberFormat="1" applyFont="1" applyFill="1" applyBorder="1"/>
    <xf numFmtId="167" fontId="19" fillId="4" borderId="3" xfId="4" applyNumberFormat="1" applyFont="1" applyFill="1" applyBorder="1"/>
    <xf numFmtId="0" fontId="4" fillId="2" borderId="2" xfId="0" applyFont="1" applyFill="1" applyBorder="1"/>
    <xf numFmtId="164" fontId="19" fillId="2" borderId="5" xfId="0" applyNumberFormat="1" applyFont="1" applyFill="1" applyBorder="1"/>
    <xf numFmtId="164" fontId="19" fillId="2" borderId="5" xfId="0" applyNumberFormat="1" applyFont="1" applyFill="1" applyBorder="1" applyAlignment="1">
      <alignment horizontal="right" wrapText="1"/>
    </xf>
    <xf numFmtId="171" fontId="3" fillId="2" borderId="0" xfId="0" applyNumberFormat="1" applyFont="1" applyFill="1"/>
    <xf numFmtId="164" fontId="19" fillId="2" borderId="3" xfId="0" applyNumberFormat="1" applyFont="1" applyFill="1" applyBorder="1"/>
    <xf numFmtId="165" fontId="19" fillId="2" borderId="3" xfId="0" applyNumberFormat="1" applyFont="1" applyFill="1" applyBorder="1"/>
    <xf numFmtId="164" fontId="19" fillId="2" borderId="7" xfId="0" applyNumberFormat="1" applyFont="1" applyFill="1" applyBorder="1"/>
    <xf numFmtId="165" fontId="19" fillId="2" borderId="7" xfId="0" applyNumberFormat="1" applyFont="1" applyFill="1" applyBorder="1"/>
    <xf numFmtId="164" fontId="3" fillId="2" borderId="7" xfId="0" applyNumberFormat="1" applyFont="1" applyFill="1" applyBorder="1"/>
    <xf numFmtId="165" fontId="3" fillId="2" borderId="7" xfId="0" applyNumberFormat="1" applyFont="1" applyFill="1" applyBorder="1"/>
    <xf numFmtId="164" fontId="20" fillId="2" borderId="0" xfId="0" applyNumberFormat="1" applyFont="1" applyFill="1"/>
    <xf numFmtId="164" fontId="3" fillId="2" borderId="0" xfId="0" applyNumberFormat="1" applyFont="1" applyFill="1" applyAlignment="1">
      <alignment horizontal="left" indent="1"/>
    </xf>
    <xf numFmtId="172" fontId="3" fillId="2" borderId="0" xfId="0" applyNumberFormat="1" applyFont="1" applyFill="1"/>
    <xf numFmtId="1" fontId="3" fillId="2" borderId="0" xfId="0" applyNumberFormat="1" applyFont="1" applyFill="1"/>
    <xf numFmtId="164" fontId="3" fillId="2" borderId="9" xfId="0" applyNumberFormat="1" applyFont="1" applyFill="1" applyBorder="1" applyAlignment="1">
      <alignment wrapText="1"/>
    </xf>
    <xf numFmtId="164" fontId="3" fillId="2" borderId="10" xfId="0" applyNumberFormat="1" applyFont="1" applyFill="1" applyBorder="1"/>
    <xf numFmtId="165" fontId="3" fillId="2" borderId="10" xfId="0" applyNumberFormat="1" applyFont="1" applyFill="1" applyBorder="1"/>
    <xf numFmtId="165" fontId="3" fillId="2" borderId="11" xfId="0" applyNumberFormat="1" applyFont="1" applyFill="1" applyBorder="1"/>
    <xf numFmtId="165" fontId="3" fillId="2" borderId="9" xfId="0" applyNumberFormat="1" applyFont="1" applyFill="1" applyBorder="1" applyAlignment="1">
      <alignment wrapText="1"/>
    </xf>
    <xf numFmtId="164" fontId="3" fillId="2" borderId="3" xfId="0" applyNumberFormat="1" applyFont="1" applyFill="1" applyBorder="1"/>
    <xf numFmtId="164" fontId="3" fillId="2" borderId="5" xfId="0" applyNumberFormat="1" applyFont="1" applyFill="1" applyBorder="1"/>
    <xf numFmtId="164" fontId="19" fillId="2" borderId="0" xfId="0" applyNumberFormat="1" applyFont="1" applyFill="1"/>
    <xf numFmtId="165" fontId="19" fillId="2" borderId="0" xfId="0" applyNumberFormat="1" applyFont="1" applyFill="1"/>
    <xf numFmtId="164" fontId="3" fillId="2" borderId="0" xfId="0" applyNumberFormat="1" applyFont="1" applyFill="1" applyAlignment="1">
      <alignment horizontal="left" wrapText="1" indent="1"/>
    </xf>
    <xf numFmtId="165" fontId="3" fillId="2" borderId="3" xfId="0" applyNumberFormat="1" applyFont="1" applyFill="1" applyBorder="1"/>
    <xf numFmtId="165" fontId="3" fillId="2" borderId="5" xfId="0" applyNumberFormat="1" applyFont="1" applyFill="1" applyBorder="1"/>
    <xf numFmtId="173" fontId="3" fillId="2" borderId="0" xfId="0" applyNumberFormat="1" applyFont="1" applyFill="1"/>
    <xf numFmtId="164" fontId="4" fillId="2" borderId="0" xfId="0" applyNumberFormat="1" applyFont="1" applyFill="1" applyAlignment="1">
      <alignment horizontal="left" vertical="center"/>
    </xf>
    <xf numFmtId="164" fontId="3" fillId="2" borderId="12" xfId="0" applyNumberFormat="1" applyFont="1" applyFill="1" applyBorder="1"/>
    <xf numFmtId="165" fontId="3" fillId="2" borderId="13" xfId="0" applyNumberFormat="1" applyFont="1" applyFill="1" applyBorder="1"/>
    <xf numFmtId="164" fontId="3" fillId="2" borderId="14" xfId="0" applyNumberFormat="1" applyFont="1" applyFill="1" applyBorder="1"/>
    <xf numFmtId="165" fontId="20" fillId="2" borderId="0" xfId="0" applyNumberFormat="1" applyFont="1" applyFill="1" applyAlignment="1">
      <alignment horizontal="right"/>
    </xf>
    <xf numFmtId="166" fontId="20" fillId="2" borderId="0" xfId="3" applyNumberFormat="1" applyFont="1" applyFill="1"/>
    <xf numFmtId="165" fontId="19" fillId="4" borderId="0" xfId="0" applyNumberFormat="1" applyFont="1" applyFill="1"/>
    <xf numFmtId="166" fontId="20" fillId="4" borderId="0" xfId="3" applyNumberFormat="1" applyFont="1" applyFill="1"/>
    <xf numFmtId="164" fontId="4" fillId="2" borderId="8" xfId="0" applyNumberFormat="1" applyFont="1" applyFill="1" applyBorder="1" applyAlignment="1">
      <alignment horizontal="left" vertical="center"/>
    </xf>
    <xf numFmtId="164" fontId="4" fillId="2" borderId="8" xfId="0" applyNumberFormat="1" applyFont="1" applyFill="1" applyBorder="1" applyAlignment="1">
      <alignment horizontal="left" wrapText="1"/>
    </xf>
    <xf numFmtId="164" fontId="19" fillId="2" borderId="8" xfId="0" applyNumberFormat="1" applyFont="1" applyFill="1" applyBorder="1" applyAlignment="1">
      <alignment horizontal="left" vertical="center"/>
    </xf>
    <xf numFmtId="166" fontId="3" fillId="2" borderId="8" xfId="0" applyNumberFormat="1" applyFont="1" applyFill="1" applyBorder="1" applyAlignment="1">
      <alignment horizontal="right"/>
    </xf>
    <xf numFmtId="164" fontId="4" fillId="2" borderId="8" xfId="0" applyNumberFormat="1" applyFont="1" applyFill="1" applyBorder="1" applyAlignment="1">
      <alignment horizontal="left"/>
    </xf>
    <xf numFmtId="164" fontId="19" fillId="2" borderId="8" xfId="0" applyNumberFormat="1" applyFont="1" applyFill="1" applyBorder="1" applyAlignment="1">
      <alignment vertical="center"/>
    </xf>
    <xf numFmtId="167" fontId="19" fillId="4" borderId="0" xfId="0" applyNumberFormat="1" applyFont="1" applyFill="1"/>
    <xf numFmtId="9" fontId="20" fillId="2" borderId="0" xfId="3" applyFont="1" applyFill="1"/>
    <xf numFmtId="165" fontId="20" fillId="2" borderId="0" xfId="3" applyNumberFormat="1" applyFont="1" applyFill="1" applyAlignment="1">
      <alignment horizontal="right"/>
    </xf>
    <xf numFmtId="164" fontId="19" fillId="2" borderId="8" xfId="0" applyNumberFormat="1" applyFont="1" applyFill="1" applyBorder="1"/>
    <xf numFmtId="164" fontId="3" fillId="2" borderId="16" xfId="0" applyNumberFormat="1" applyFont="1" applyFill="1" applyBorder="1"/>
    <xf numFmtId="164" fontId="3" fillId="2" borderId="6" xfId="0" applyNumberFormat="1" applyFont="1" applyFill="1" applyBorder="1"/>
    <xf numFmtId="164" fontId="3" fillId="2" borderId="15" xfId="0" applyNumberFormat="1" applyFont="1" applyFill="1" applyBorder="1"/>
    <xf numFmtId="164" fontId="2" fillId="2" borderId="3" xfId="0" applyNumberFormat="1" applyFont="1" applyFill="1" applyBorder="1"/>
    <xf numFmtId="165" fontId="4" fillId="2" borderId="0" xfId="0" applyNumberFormat="1" applyFont="1" applyFill="1"/>
    <xf numFmtId="164" fontId="10" fillId="2" borderId="0" xfId="0" applyNumberFormat="1" applyFont="1" applyFill="1"/>
    <xf numFmtId="166" fontId="12" fillId="2" borderId="0" xfId="3" applyNumberFormat="1" applyFont="1" applyFill="1" applyBorder="1"/>
    <xf numFmtId="164" fontId="19" fillId="2" borderId="17" xfId="0" applyNumberFormat="1" applyFont="1" applyFill="1" applyBorder="1"/>
    <xf numFmtId="165" fontId="3" fillId="2" borderId="8" xfId="0" applyNumberFormat="1" applyFont="1" applyFill="1" applyBorder="1"/>
    <xf numFmtId="9" fontId="3" fillId="2" borderId="8" xfId="0" applyNumberFormat="1" applyFont="1" applyFill="1" applyBorder="1" applyAlignment="1">
      <alignment horizontal="right"/>
    </xf>
    <xf numFmtId="9" fontId="20" fillId="4" borderId="0" xfId="0" applyNumberFormat="1" applyFont="1" applyFill="1"/>
    <xf numFmtId="165" fontId="20" fillId="4" borderId="0" xfId="0" applyNumberFormat="1" applyFont="1" applyFill="1"/>
    <xf numFmtId="166" fontId="20" fillId="4" borderId="0" xfId="0" applyNumberFormat="1" applyFont="1" applyFill="1"/>
    <xf numFmtId="1" fontId="20" fillId="4" borderId="0" xfId="0" applyNumberFormat="1" applyFont="1" applyFill="1"/>
    <xf numFmtId="1" fontId="3" fillId="2" borderId="8" xfId="0" applyNumberFormat="1" applyFont="1" applyFill="1" applyBorder="1"/>
    <xf numFmtId="1" fontId="3" fillId="4" borderId="0" xfId="0" applyNumberFormat="1" applyFont="1" applyFill="1"/>
    <xf numFmtId="168" fontId="4" fillId="2" borderId="7" xfId="0" applyNumberFormat="1" applyFont="1" applyFill="1" applyBorder="1"/>
    <xf numFmtId="168" fontId="3" fillId="2" borderId="0" xfId="0" applyNumberFormat="1" applyFont="1" applyFill="1" applyAlignment="1">
      <alignment horizontal="left" indent="1"/>
    </xf>
    <xf numFmtId="168" fontId="4" fillId="4" borderId="7" xfId="0" applyNumberFormat="1" applyFont="1" applyFill="1" applyBorder="1"/>
    <xf numFmtId="168" fontId="8" fillId="2" borderId="0" xfId="0" applyNumberFormat="1" applyFont="1" applyFill="1" applyAlignment="1">
      <alignment horizontal="right"/>
    </xf>
    <xf numFmtId="168" fontId="3" fillId="2" borderId="0" xfId="0" applyNumberFormat="1" applyFont="1" applyFill="1" applyAlignment="1">
      <alignment vertical="center" wrapText="1"/>
    </xf>
    <xf numFmtId="168" fontId="4" fillId="2" borderId="0" xfId="0" applyNumberFormat="1" applyFont="1" applyFill="1" applyAlignment="1">
      <alignment vertical="center" wrapText="1"/>
    </xf>
    <xf numFmtId="10" fontId="3" fillId="2" borderId="0" xfId="0" applyNumberFormat="1" applyFont="1" applyFill="1"/>
    <xf numFmtId="168" fontId="4" fillId="2" borderId="10" xfId="0" applyNumberFormat="1" applyFont="1" applyFill="1" applyBorder="1"/>
    <xf numFmtId="168" fontId="10" fillId="2" borderId="0" xfId="0" applyNumberFormat="1" applyFont="1" applyFill="1"/>
    <xf numFmtId="164" fontId="7" fillId="2" borderId="0" xfId="0" applyNumberFormat="1" applyFont="1" applyFill="1"/>
    <xf numFmtId="168" fontId="14" fillId="2" borderId="0" xfId="0" applyNumberFormat="1" applyFont="1" applyFill="1"/>
    <xf numFmtId="168" fontId="15" fillId="2" borderId="0" xfId="0" applyNumberFormat="1" applyFont="1" applyFill="1"/>
    <xf numFmtId="9" fontId="3" fillId="2" borderId="0" xfId="0" applyNumberFormat="1" applyFont="1" applyFill="1"/>
    <xf numFmtId="164" fontId="3" fillId="2" borderId="0" xfId="4" applyNumberFormat="1" applyFont="1" applyFill="1"/>
    <xf numFmtId="0" fontId="19" fillId="2" borderId="0" xfId="0" applyFont="1" applyFill="1"/>
    <xf numFmtId="170" fontId="15" fillId="2" borderId="12" xfId="0" applyNumberFormat="1" applyFont="1" applyFill="1" applyBorder="1" applyAlignment="1">
      <alignment horizontal="left"/>
    </xf>
    <xf numFmtId="170" fontId="15" fillId="2" borderId="3" xfId="0" applyNumberFormat="1" applyFont="1" applyFill="1" applyBorder="1" applyAlignment="1">
      <alignment horizontal="left"/>
    </xf>
    <xf numFmtId="170" fontId="15" fillId="2" borderId="3" xfId="0" applyNumberFormat="1" applyFont="1" applyFill="1" applyBorder="1"/>
    <xf numFmtId="0" fontId="15" fillId="2" borderId="13" xfId="0" applyFont="1" applyFill="1" applyBorder="1"/>
    <xf numFmtId="0" fontId="15" fillId="2" borderId="16" xfId="0" applyFont="1" applyFill="1" applyBorder="1" applyAlignment="1">
      <alignment horizontal="left"/>
    </xf>
    <xf numFmtId="170" fontId="15" fillId="2" borderId="0" xfId="0" applyNumberFormat="1" applyFont="1" applyFill="1" applyAlignment="1">
      <alignment horizontal="left"/>
    </xf>
    <xf numFmtId="170" fontId="15" fillId="2" borderId="0" xfId="0" applyNumberFormat="1" applyFont="1" applyFill="1"/>
    <xf numFmtId="170" fontId="15" fillId="2" borderId="6" xfId="0" applyNumberFormat="1" applyFont="1" applyFill="1" applyBorder="1"/>
    <xf numFmtId="0" fontId="20" fillId="2" borderId="0" xfId="0" applyFont="1" applyFill="1"/>
    <xf numFmtId="0" fontId="14" fillId="2" borderId="14" xfId="0" applyFont="1" applyFill="1" applyBorder="1" applyAlignment="1">
      <alignment vertical="top" wrapText="1"/>
    </xf>
    <xf numFmtId="170" fontId="14" fillId="2" borderId="5" xfId="0" applyNumberFormat="1" applyFont="1" applyFill="1" applyBorder="1" applyAlignment="1">
      <alignment vertical="top" wrapText="1"/>
    </xf>
    <xf numFmtId="0" fontId="14" fillId="2" borderId="15" xfId="0" applyFont="1" applyFill="1" applyBorder="1" applyAlignment="1">
      <alignment vertical="top"/>
    </xf>
    <xf numFmtId="0" fontId="22" fillId="2" borderId="0" xfId="0" applyFont="1" applyFill="1" applyAlignment="1">
      <alignment horizontal="left"/>
    </xf>
    <xf numFmtId="0" fontId="23" fillId="2" borderId="0" xfId="1" applyFont="1" applyFill="1"/>
    <xf numFmtId="0" fontId="24" fillId="0" borderId="5" xfId="0" applyFont="1" applyBorder="1"/>
    <xf numFmtId="164" fontId="4" fillId="2" borderId="5" xfId="0" applyNumberFormat="1" applyFont="1" applyFill="1" applyBorder="1" applyAlignment="1">
      <alignment horizontal="right" wrapText="1"/>
    </xf>
    <xf numFmtId="174" fontId="3" fillId="2" borderId="0" xfId="0" applyNumberFormat="1" applyFont="1" applyFill="1"/>
    <xf numFmtId="165" fontId="19" fillId="2" borderId="7" xfId="0" applyNumberFormat="1" applyFont="1" applyFill="1" applyBorder="1" applyAlignment="1">
      <alignment horizontal="left"/>
    </xf>
    <xf numFmtId="9" fontId="3" fillId="2" borderId="0" xfId="3" applyFont="1" applyFill="1" applyBorder="1"/>
    <xf numFmtId="165" fontId="7" fillId="2" borderId="0" xfId="0" applyNumberFormat="1" applyFont="1" applyFill="1"/>
    <xf numFmtId="164" fontId="4" fillId="2" borderId="0" xfId="0" applyNumberFormat="1" applyFont="1" applyFill="1" applyAlignment="1">
      <alignment wrapText="1"/>
    </xf>
    <xf numFmtId="10" fontId="10" fillId="2" borderId="0" xfId="0" applyNumberFormat="1" applyFont="1" applyFill="1"/>
    <xf numFmtId="165" fontId="31" fillId="2" borderId="0" xfId="0" applyNumberFormat="1" applyFont="1" applyFill="1"/>
    <xf numFmtId="165" fontId="31" fillId="0" borderId="0" xfId="0" applyNumberFormat="1" applyFont="1"/>
    <xf numFmtId="164" fontId="31" fillId="0" borderId="0" xfId="0" applyNumberFormat="1" applyFont="1"/>
    <xf numFmtId="9" fontId="4" fillId="2" borderId="0" xfId="3" applyFont="1" applyFill="1" applyBorder="1"/>
    <xf numFmtId="164" fontId="13" fillId="2" borderId="0" xfId="0" applyNumberFormat="1" applyFont="1" applyFill="1"/>
    <xf numFmtId="9" fontId="13" fillId="2" borderId="0" xfId="3" applyFont="1" applyFill="1" applyBorder="1"/>
    <xf numFmtId="169" fontId="3" fillId="2" borderId="0" xfId="4" applyFont="1" applyFill="1" applyBorder="1"/>
    <xf numFmtId="164" fontId="17" fillId="2" borderId="0" xfId="0" applyNumberFormat="1" applyFont="1" applyFill="1"/>
    <xf numFmtId="0" fontId="32" fillId="3" borderId="0" xfId="0" applyFont="1" applyFill="1"/>
    <xf numFmtId="0" fontId="0" fillId="3" borderId="0" xfId="0" applyFill="1"/>
    <xf numFmtId="0" fontId="0" fillId="2" borderId="0" xfId="0" applyFill="1"/>
    <xf numFmtId="0" fontId="0" fillId="2" borderId="5" xfId="0" applyFill="1" applyBorder="1"/>
    <xf numFmtId="0" fontId="27" fillId="7" borderId="0" xfId="0" applyFont="1" applyFill="1"/>
    <xf numFmtId="0" fontId="27" fillId="7" borderId="0" xfId="0" applyFont="1" applyFill="1" applyAlignment="1">
      <alignment horizontal="center" vertical="center"/>
    </xf>
    <xf numFmtId="0" fontId="27" fillId="7" borderId="0" xfId="0" applyFont="1" applyFill="1" applyAlignment="1">
      <alignment horizontal="center" vertical="center" wrapText="1"/>
    </xf>
    <xf numFmtId="0" fontId="25" fillId="2" borderId="0" xfId="5" applyFont="1" applyFill="1"/>
    <xf numFmtId="0" fontId="30" fillId="2" borderId="0" xfId="0" applyFont="1" applyFill="1"/>
    <xf numFmtId="0" fontId="27" fillId="2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0" fillId="6" borderId="19" xfId="0" applyFill="1" applyBorder="1"/>
    <xf numFmtId="0" fontId="0" fillId="6" borderId="19" xfId="0" applyFill="1" applyBorder="1" applyAlignment="1">
      <alignment horizontal="center"/>
    </xf>
    <xf numFmtId="43" fontId="35" fillId="6" borderId="19" xfId="4" applyNumberFormat="1" applyFont="1" applyFill="1" applyBorder="1"/>
    <xf numFmtId="175" fontId="35" fillId="6" borderId="19" xfId="4" applyNumberFormat="1" applyFont="1" applyFill="1" applyBorder="1"/>
    <xf numFmtId="175" fontId="28" fillId="6" borderId="19" xfId="4" applyNumberFormat="1" applyFont="1" applyFill="1" applyBorder="1"/>
    <xf numFmtId="175" fontId="0" fillId="6" borderId="19" xfId="4" applyNumberFormat="1" applyFont="1" applyFill="1" applyBorder="1"/>
    <xf numFmtId="176" fontId="0" fillId="6" borderId="19" xfId="4" applyNumberFormat="1" applyFont="1" applyFill="1" applyBorder="1"/>
    <xf numFmtId="0" fontId="0" fillId="0" borderId="0" xfId="0" applyAlignment="1">
      <alignment horizontal="center"/>
    </xf>
    <xf numFmtId="43" fontId="35" fillId="0" borderId="0" xfId="4" applyNumberFormat="1" applyFont="1" applyBorder="1"/>
    <xf numFmtId="175" fontId="35" fillId="0" borderId="0" xfId="4" applyNumberFormat="1" applyFont="1" applyBorder="1"/>
    <xf numFmtId="175" fontId="28" fillId="0" borderId="0" xfId="4" applyNumberFormat="1" applyFont="1" applyBorder="1"/>
    <xf numFmtId="175" fontId="0" fillId="0" borderId="0" xfId="4" applyNumberFormat="1" applyFont="1" applyBorder="1"/>
    <xf numFmtId="177" fontId="0" fillId="0" borderId="0" xfId="4" applyNumberFormat="1" applyFont="1" applyBorder="1"/>
    <xf numFmtId="0" fontId="0" fillId="6" borderId="20" xfId="0" applyFill="1" applyBorder="1"/>
    <xf numFmtId="177" fontId="0" fillId="6" borderId="20" xfId="0" applyNumberFormat="1" applyFill="1" applyBorder="1"/>
    <xf numFmtId="0" fontId="0" fillId="6" borderId="0" xfId="0" applyFill="1"/>
    <xf numFmtId="0" fontId="29" fillId="6" borderId="0" xfId="0" applyFont="1" applyFill="1"/>
    <xf numFmtId="177" fontId="0" fillId="6" borderId="0" xfId="0" applyNumberFormat="1" applyFill="1"/>
    <xf numFmtId="177" fontId="29" fillId="6" borderId="0" xfId="0" applyNumberFormat="1" applyFont="1" applyFill="1"/>
    <xf numFmtId="0" fontId="0" fillId="6" borderId="21" xfId="0" applyFill="1" applyBorder="1"/>
    <xf numFmtId="177" fontId="0" fillId="6" borderId="21" xfId="0" applyNumberFormat="1" applyFill="1" applyBorder="1"/>
    <xf numFmtId="0" fontId="33" fillId="7" borderId="0" xfId="0" applyFont="1" applyFill="1"/>
    <xf numFmtId="178" fontId="0" fillId="2" borderId="0" xfId="0" applyNumberFormat="1" applyFill="1"/>
    <xf numFmtId="175" fontId="28" fillId="2" borderId="0" xfId="4" applyNumberFormat="1" applyFont="1" applyFill="1" applyBorder="1"/>
    <xf numFmtId="175" fontId="0" fillId="2" borderId="0" xfId="0" applyNumberFormat="1" applyFill="1"/>
    <xf numFmtId="175" fontId="35" fillId="2" borderId="0" xfId="4" applyNumberFormat="1" applyFont="1" applyFill="1" applyBorder="1"/>
    <xf numFmtId="0" fontId="27" fillId="3" borderId="8" xfId="5" applyFont="1" applyFill="1" applyBorder="1" applyAlignment="1">
      <alignment horizontal="center"/>
    </xf>
    <xf numFmtId="0" fontId="38" fillId="0" borderId="8" xfId="0" applyFont="1" applyBorder="1" applyAlignment="1">
      <alignment horizontal="center"/>
    </xf>
    <xf numFmtId="3" fontId="0" fillId="6" borderId="0" xfId="0" applyNumberFormat="1" applyFill="1"/>
    <xf numFmtId="166" fontId="0" fillId="6" borderId="0" xfId="0" applyNumberFormat="1" applyFill="1" applyAlignment="1">
      <alignment horizontal="right"/>
    </xf>
    <xf numFmtId="10" fontId="0" fillId="6" borderId="0" xfId="0" applyNumberFormat="1" applyFill="1" applyAlignment="1">
      <alignment horizontal="right"/>
    </xf>
    <xf numFmtId="3" fontId="0" fillId="6" borderId="0" xfId="0" applyNumberFormat="1" applyFill="1" applyAlignment="1">
      <alignment horizontal="right"/>
    </xf>
    <xf numFmtId="9" fontId="0" fillId="6" borderId="0" xfId="0" applyNumberFormat="1" applyFill="1" applyAlignment="1">
      <alignment horizontal="right"/>
    </xf>
    <xf numFmtId="0" fontId="0" fillId="6" borderId="0" xfId="0" applyFill="1" applyAlignment="1">
      <alignment horizontal="right"/>
    </xf>
    <xf numFmtId="10" fontId="41" fillId="6" borderId="0" xfId="0" applyNumberFormat="1" applyFont="1" applyFill="1" applyAlignment="1">
      <alignment horizontal="right"/>
    </xf>
    <xf numFmtId="0" fontId="41" fillId="2" borderId="0" xfId="0" applyFont="1" applyFill="1"/>
    <xf numFmtId="166" fontId="13" fillId="2" borderId="5" xfId="3" applyNumberFormat="1" applyFont="1" applyFill="1" applyBorder="1"/>
    <xf numFmtId="166" fontId="3" fillId="2" borderId="0" xfId="0" applyNumberFormat="1" applyFont="1" applyFill="1"/>
    <xf numFmtId="166" fontId="13" fillId="2" borderId="6" xfId="3" applyNumberFormat="1" applyFont="1" applyFill="1" applyBorder="1"/>
    <xf numFmtId="165" fontId="19" fillId="8" borderId="0" xfId="0" applyNumberFormat="1" applyFont="1" applyFill="1"/>
    <xf numFmtId="164" fontId="19" fillId="2" borderId="8" xfId="0" applyNumberFormat="1" applyFont="1" applyFill="1" applyBorder="1" applyAlignment="1">
      <alignment horizontal="left"/>
    </xf>
    <xf numFmtId="10" fontId="3" fillId="4" borderId="0" xfId="0" applyNumberFormat="1" applyFont="1" applyFill="1"/>
    <xf numFmtId="168" fontId="4" fillId="4" borderId="10" xfId="0" applyNumberFormat="1" applyFont="1" applyFill="1" applyBorder="1"/>
    <xf numFmtId="10" fontId="4" fillId="2" borderId="0" xfId="0" applyNumberFormat="1" applyFont="1" applyFill="1"/>
    <xf numFmtId="0" fontId="29" fillId="4" borderId="19" xfId="0" applyFont="1" applyFill="1" applyBorder="1"/>
    <xf numFmtId="178" fontId="29" fillId="4" borderId="19" xfId="0" applyNumberFormat="1" applyFont="1" applyFill="1" applyBorder="1"/>
    <xf numFmtId="175" fontId="36" fillId="4" borderId="19" xfId="4" applyNumberFormat="1" applyFont="1" applyFill="1" applyBorder="1"/>
    <xf numFmtId="43" fontId="29" fillId="4" borderId="19" xfId="4" applyNumberFormat="1" applyFont="1" applyFill="1" applyBorder="1"/>
    <xf numFmtId="0" fontId="27" fillId="2" borderId="0" xfId="0" applyFont="1" applyFill="1"/>
    <xf numFmtId="0" fontId="29" fillId="2" borderId="0" xfId="0" applyFont="1" applyFill="1"/>
    <xf numFmtId="43" fontId="29" fillId="2" borderId="0" xfId="4" applyNumberFormat="1" applyFont="1" applyFill="1" applyBorder="1"/>
    <xf numFmtId="164" fontId="7" fillId="3" borderId="18" xfId="0" applyNumberFormat="1" applyFont="1" applyFill="1" applyBorder="1" applyAlignment="1">
      <alignment horizontal="center"/>
    </xf>
    <xf numFmtId="164" fontId="18" fillId="3" borderId="18" xfId="0" applyNumberFormat="1" applyFont="1" applyFill="1" applyBorder="1" applyAlignment="1">
      <alignment horizontal="center"/>
    </xf>
    <xf numFmtId="165" fontId="31" fillId="2" borderId="0" xfId="0" applyNumberFormat="1" applyFont="1" applyFill="1" applyAlignment="1">
      <alignment horizontal="left" vertical="center"/>
    </xf>
    <xf numFmtId="164" fontId="3" fillId="2" borderId="8" xfId="0" applyNumberFormat="1" applyFont="1" applyFill="1" applyBorder="1" applyAlignment="1">
      <alignment horizontal="left" vertical="center" wrapText="1"/>
    </xf>
    <xf numFmtId="164" fontId="7" fillId="3" borderId="8" xfId="0" applyNumberFormat="1" applyFont="1" applyFill="1" applyBorder="1" applyAlignment="1">
      <alignment horizontal="center"/>
    </xf>
    <xf numFmtId="164" fontId="18" fillId="3" borderId="8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left" vertical="center" wrapText="1"/>
    </xf>
    <xf numFmtId="168" fontId="3" fillId="2" borderId="12" xfId="0" applyNumberFormat="1" applyFont="1" applyFill="1" applyBorder="1" applyAlignment="1">
      <alignment horizontal="left" wrapText="1"/>
    </xf>
    <xf numFmtId="168" fontId="3" fillId="2" borderId="13" xfId="0" applyNumberFormat="1" applyFont="1" applyFill="1" applyBorder="1" applyAlignment="1">
      <alignment horizontal="left" wrapText="1"/>
    </xf>
    <xf numFmtId="168" fontId="3" fillId="2" borderId="16" xfId="0" applyNumberFormat="1" applyFont="1" applyFill="1" applyBorder="1" applyAlignment="1">
      <alignment horizontal="left" wrapText="1"/>
    </xf>
    <xf numFmtId="168" fontId="3" fillId="2" borderId="6" xfId="0" applyNumberFormat="1" applyFont="1" applyFill="1" applyBorder="1" applyAlignment="1">
      <alignment horizontal="left" wrapText="1"/>
    </xf>
    <xf numFmtId="168" fontId="3" fillId="2" borderId="14" xfId="0" applyNumberFormat="1" applyFont="1" applyFill="1" applyBorder="1" applyAlignment="1">
      <alignment horizontal="left" wrapText="1"/>
    </xf>
    <xf numFmtId="168" fontId="3" fillId="2" borderId="15" xfId="0" applyNumberFormat="1" applyFont="1" applyFill="1" applyBorder="1" applyAlignment="1">
      <alignment horizontal="left" wrapText="1"/>
    </xf>
    <xf numFmtId="168" fontId="3" fillId="2" borderId="0" xfId="0" applyNumberFormat="1" applyFont="1" applyFill="1" applyAlignment="1">
      <alignment horizontal="center" vertical="center" wrapText="1"/>
    </xf>
    <xf numFmtId="164" fontId="17" fillId="3" borderId="0" xfId="0" applyNumberFormat="1" applyFont="1" applyFill="1" applyAlignment="1">
      <alignment horizontal="center"/>
    </xf>
    <xf numFmtId="0" fontId="27" fillId="3" borderId="8" xfId="5" applyFont="1" applyFill="1" applyBorder="1" applyAlignment="1">
      <alignment horizontal="center"/>
    </xf>
    <xf numFmtId="0" fontId="42" fillId="3" borderId="8" xfId="0" applyFont="1" applyFill="1" applyBorder="1" applyAlignment="1">
      <alignment horizontal="center"/>
    </xf>
    <xf numFmtId="0" fontId="43" fillId="2" borderId="8" xfId="0" applyFont="1" applyFill="1" applyBorder="1" applyAlignment="1">
      <alignment horizontal="center"/>
    </xf>
    <xf numFmtId="164" fontId="34" fillId="2" borderId="5" xfId="0" applyNumberFormat="1" applyFont="1" applyFill="1" applyBorder="1" applyAlignment="1">
      <alignment horizontal="center" wrapText="1"/>
    </xf>
    <xf numFmtId="0" fontId="27" fillId="3" borderId="20" xfId="5" applyFont="1" applyFill="1" applyBorder="1" applyAlignment="1">
      <alignment horizontal="left"/>
    </xf>
    <xf numFmtId="0" fontId="40" fillId="3" borderId="20" xfId="5" applyFont="1" applyFill="1" applyBorder="1" applyAlignment="1">
      <alignment horizontal="left"/>
    </xf>
    <xf numFmtId="0" fontId="27" fillId="7" borderId="0" xfId="0" applyFont="1" applyFill="1" applyAlignment="1">
      <alignment horizontal="center"/>
    </xf>
    <xf numFmtId="0" fontId="30" fillId="2" borderId="3" xfId="0" applyFont="1" applyFill="1" applyBorder="1" applyAlignment="1">
      <alignment horizontal="center"/>
    </xf>
    <xf numFmtId="167" fontId="30" fillId="2" borderId="3" xfId="4" applyNumberFormat="1" applyFont="1" applyFill="1" applyBorder="1" applyAlignment="1">
      <alignment horizontal="center"/>
    </xf>
    <xf numFmtId="0" fontId="37" fillId="2" borderId="8" xfId="5" applyFont="1" applyFill="1" applyBorder="1" applyAlignment="1">
      <alignment horizontal="center"/>
    </xf>
    <xf numFmtId="0" fontId="39" fillId="2" borderId="8" xfId="5" applyFont="1" applyFill="1" applyBorder="1" applyAlignment="1">
      <alignment horizontal="center"/>
    </xf>
    <xf numFmtId="0" fontId="27" fillId="3" borderId="9" xfId="5" applyFont="1" applyFill="1" applyBorder="1" applyAlignment="1">
      <alignment horizontal="center"/>
    </xf>
    <xf numFmtId="0" fontId="27" fillId="3" borderId="10" xfId="5" applyFont="1" applyFill="1" applyBorder="1" applyAlignment="1">
      <alignment horizontal="center"/>
    </xf>
    <xf numFmtId="0" fontId="27" fillId="3" borderId="11" xfId="5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wrapText="1"/>
    </xf>
    <xf numFmtId="0" fontId="21" fillId="2" borderId="10" xfId="0" applyFont="1" applyFill="1" applyBorder="1" applyAlignment="1">
      <alignment horizontal="center" wrapText="1"/>
    </xf>
    <xf numFmtId="0" fontId="21" fillId="2" borderId="11" xfId="0" applyFont="1" applyFill="1" applyBorder="1" applyAlignment="1">
      <alignment horizontal="center" wrapText="1"/>
    </xf>
    <xf numFmtId="0" fontId="21" fillId="2" borderId="12" xfId="0" applyFont="1" applyFill="1" applyBorder="1" applyAlignment="1">
      <alignment horizontal="center" wrapText="1"/>
    </xf>
    <xf numFmtId="0" fontId="21" fillId="2" borderId="3" xfId="0" applyFont="1" applyFill="1" applyBorder="1" applyAlignment="1">
      <alignment horizontal="center" wrapText="1"/>
    </xf>
    <xf numFmtId="0" fontId="21" fillId="2" borderId="13" xfId="0" applyFont="1" applyFill="1" applyBorder="1" applyAlignment="1">
      <alignment horizontal="center" wrapText="1"/>
    </xf>
    <xf numFmtId="0" fontId="21" fillId="2" borderId="16" xfId="0" applyFont="1" applyFill="1" applyBorder="1" applyAlignment="1">
      <alignment horizontal="center" wrapText="1"/>
    </xf>
    <xf numFmtId="0" fontId="21" fillId="2" borderId="0" xfId="0" applyFont="1" applyFill="1" applyAlignment="1">
      <alignment horizontal="center" wrapText="1"/>
    </xf>
    <xf numFmtId="0" fontId="21" fillId="2" borderId="6" xfId="0" applyFont="1" applyFill="1" applyBorder="1" applyAlignment="1">
      <alignment horizontal="center" wrapText="1"/>
    </xf>
    <xf numFmtId="0" fontId="21" fillId="2" borderId="14" xfId="0" applyFont="1" applyFill="1" applyBorder="1" applyAlignment="1">
      <alignment horizontal="center" wrapText="1"/>
    </xf>
    <xf numFmtId="0" fontId="21" fillId="2" borderId="5" xfId="0" applyFont="1" applyFill="1" applyBorder="1" applyAlignment="1">
      <alignment horizontal="center" wrapText="1"/>
    </xf>
    <xf numFmtId="0" fontId="21" fillId="2" borderId="15" xfId="0" applyFont="1" applyFill="1" applyBorder="1" applyAlignment="1">
      <alignment horizontal="center" wrapText="1"/>
    </xf>
  </cellXfs>
  <cellStyles count="8">
    <cellStyle name="Comma 2" xfId="4" xr:uid="{711E7410-1D13-C040-82AF-CAB4C4AA60A0}"/>
    <cellStyle name="Hyperlink" xfId="1" builtinId="8"/>
    <cellStyle name="Normal" xfId="0" builtinId="0"/>
    <cellStyle name="Normal 2" xfId="6" xr:uid="{D2B7DB1C-DD53-D741-94A1-00E32B7F719F}"/>
    <cellStyle name="Normal 3 2" xfId="5" xr:uid="{CE394284-956F-BB4B-9558-C64FECCC8574}"/>
    <cellStyle name="Normal 5 2" xfId="7" xr:uid="{8ED0D4F4-E8E2-4E42-8220-C826BE23B7A4}"/>
    <cellStyle name="Per cent 2" xfId="3" xr:uid="{BA83A8F3-2B34-684F-98A3-D2DD02F13A3B}"/>
    <cellStyle name="Smart Subtitle 1" xfId="2" xr:uid="{3A8AA9D0-ABBF-AC49-A70F-9265A0235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Margins (%)</a:t>
            </a:r>
            <a:r>
              <a:rPr lang="en-GB" baseline="0"/>
              <a:t> over period of 2020-2024FY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Ratios!$B$5</c:f>
              <c:strCache>
                <c:ptCount val="1"/>
                <c:pt idx="0">
                  <c:v>Gross Margin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Ratios!$D$3:$H$3</c:f>
              <c:strCache>
                <c:ptCount val="5"/>
                <c:pt idx="0">
                  <c:v>FY 2020
Actual </c:v>
                </c:pt>
                <c:pt idx="1">
                  <c:v>FY 2021
Actual </c:v>
                </c:pt>
                <c:pt idx="2">
                  <c:v>FY 2022
Actual </c:v>
                </c:pt>
                <c:pt idx="3">
                  <c:v>FY 2023
Actual </c:v>
                </c:pt>
                <c:pt idx="4">
                  <c:v>FY 2024
Actual </c:v>
                </c:pt>
              </c:strCache>
            </c:strRef>
          </c:cat>
          <c:val>
            <c:numRef>
              <c:f>Ratios!$D$5:$H$5</c:f>
              <c:numCache>
                <c:formatCode>0.00%</c:formatCode>
                <c:ptCount val="5"/>
                <c:pt idx="0">
                  <c:v>0.11020719461039787</c:v>
                </c:pt>
                <c:pt idx="1">
                  <c:v>0.15953595882942997</c:v>
                </c:pt>
                <c:pt idx="2">
                  <c:v>0.18372432451674914</c:v>
                </c:pt>
                <c:pt idx="3">
                  <c:v>0.19806850762034103</c:v>
                </c:pt>
                <c:pt idx="4">
                  <c:v>0.20557193639945989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D-D740-A433-8DF75B690B47}"/>
            </c:ext>
          </c:extLst>
        </c:ser>
        <c:ser>
          <c:idx val="1"/>
          <c:order val="1"/>
          <c:tx>
            <c:strRef>
              <c:f>Ratios!$B$6</c:f>
              <c:strCache>
                <c:ptCount val="1"/>
                <c:pt idx="0">
                  <c:v>EBIT Margin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-5.3238431076405295E-2"/>
                  <c:y val="-5.10296751487272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47D-D740-A433-8DF75B690B47}"/>
                </c:ext>
              </c:extLst>
            </c:dLbl>
            <c:dLbl>
              <c:idx val="1"/>
              <c:layout>
                <c:manualLayout>
                  <c:x val="-3.217383088492571E-2"/>
                  <c:y val="-2.45502291857109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47D-D740-A433-8DF75B690B47}"/>
                </c:ext>
              </c:extLst>
            </c:dLbl>
            <c:dLbl>
              <c:idx val="2"/>
              <c:layout>
                <c:manualLayout>
                  <c:x val="-3.217383088492571E-2"/>
                  <c:y val="-1.32018952015610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47D-D740-A433-8DF75B690B47}"/>
                </c:ext>
              </c:extLst>
            </c:dLbl>
            <c:dLbl>
              <c:idx val="3"/>
              <c:layout>
                <c:manualLayout>
                  <c:x val="-3.217383088492571E-2"/>
                  <c:y val="-2.455022918571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47D-D740-A433-8DF75B690B47}"/>
                </c:ext>
              </c:extLst>
            </c:dLbl>
            <c:dLbl>
              <c:idx val="4"/>
              <c:layout>
                <c:manualLayout>
                  <c:x val="-3.217383088492571E-2"/>
                  <c:y val="-3.2115785175144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47D-D740-A433-8DF75B690B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Ratios!$D$3:$H$3</c:f>
              <c:strCache>
                <c:ptCount val="5"/>
                <c:pt idx="0">
                  <c:v>FY 2020
Actual </c:v>
                </c:pt>
                <c:pt idx="1">
                  <c:v>FY 2021
Actual </c:v>
                </c:pt>
                <c:pt idx="2">
                  <c:v>FY 2022
Actual </c:v>
                </c:pt>
                <c:pt idx="3">
                  <c:v>FY 2023
Actual </c:v>
                </c:pt>
                <c:pt idx="4">
                  <c:v>FY 2024
Actual </c:v>
                </c:pt>
              </c:strCache>
            </c:strRef>
          </c:cat>
          <c:val>
            <c:numRef>
              <c:f>Ratios!$D$6:$H$6</c:f>
              <c:numCache>
                <c:formatCode>0.00%</c:formatCode>
                <c:ptCount val="5"/>
                <c:pt idx="0">
                  <c:v>-0.46616668785220966</c:v>
                </c:pt>
                <c:pt idx="1">
                  <c:v>0.12058964629944612</c:v>
                </c:pt>
                <c:pt idx="2">
                  <c:v>0.1477697483179666</c:v>
                </c:pt>
                <c:pt idx="3">
                  <c:v>0.16426739097630905</c:v>
                </c:pt>
                <c:pt idx="4">
                  <c:v>0.15993827330596047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D-D740-A433-8DF75B690B47}"/>
            </c:ext>
          </c:extLst>
        </c:ser>
        <c:ser>
          <c:idx val="2"/>
          <c:order val="2"/>
          <c:tx>
            <c:strRef>
              <c:f>Ratios!$B$7</c:f>
              <c:strCache>
                <c:ptCount val="1"/>
                <c:pt idx="0">
                  <c:v>Net Margin 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0"/>
              <c:layout>
                <c:manualLayout>
                  <c:x val="8.296218157059174E-3"/>
                  <c:y val="1.70603287561718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47D-D740-A433-8DF75B690B47}"/>
                </c:ext>
              </c:extLst>
            </c:dLbl>
            <c:dLbl>
              <c:idx val="1"/>
              <c:layout>
                <c:manualLayout>
                  <c:x val="-1.1252050145547789E-2"/>
                  <c:y val="2.84086627403218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47D-D740-A433-8DF75B690B47}"/>
                </c:ext>
              </c:extLst>
            </c:dLbl>
            <c:dLbl>
              <c:idx val="2"/>
              <c:layout>
                <c:manualLayout>
                  <c:x val="-2.9243609492855972E-2"/>
                  <c:y val="2.08431067508886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47D-D740-A433-8DF75B690B47}"/>
                </c:ext>
              </c:extLst>
            </c:dLbl>
            <c:dLbl>
              <c:idx val="3"/>
              <c:layout>
                <c:manualLayout>
                  <c:x val="-2.4848277404751366E-2"/>
                  <c:y val="3.21914407350384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47D-D740-A433-8DF75B690B47}"/>
                </c:ext>
              </c:extLst>
            </c:dLbl>
            <c:dLbl>
              <c:idx val="4"/>
              <c:layout>
                <c:manualLayout>
                  <c:x val="-3.0708720188890731E-2"/>
                  <c:y val="3.21914407350384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47D-D740-A433-8DF75B690B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Ratios!$D$3:$H$3</c:f>
              <c:strCache>
                <c:ptCount val="5"/>
                <c:pt idx="0">
                  <c:v>FY 2020
Actual </c:v>
                </c:pt>
                <c:pt idx="1">
                  <c:v>FY 2021
Actual </c:v>
                </c:pt>
                <c:pt idx="2">
                  <c:v>FY 2022
Actual </c:v>
                </c:pt>
                <c:pt idx="3">
                  <c:v>FY 2023
Actual </c:v>
                </c:pt>
                <c:pt idx="4">
                  <c:v>FY 2024
Actual </c:v>
                </c:pt>
              </c:strCache>
            </c:strRef>
          </c:cat>
          <c:val>
            <c:numRef>
              <c:f>Ratios!$D$7:$H$7</c:f>
              <c:numCache>
                <c:formatCode>0.00%</c:formatCode>
                <c:ptCount val="5"/>
                <c:pt idx="0">
                  <c:v>-0.444303207491208</c:v>
                </c:pt>
                <c:pt idx="1">
                  <c:v>8.4085655719830787E-2</c:v>
                </c:pt>
                <c:pt idx="2">
                  <c:v>0.1243102773130184</c:v>
                </c:pt>
                <c:pt idx="3">
                  <c:v>0.12901765504753282</c:v>
                </c:pt>
                <c:pt idx="4">
                  <c:v>0.12618148750310013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D-D740-A433-8DF75B690B4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37413712"/>
        <c:axId val="1637289392"/>
      </c:lineChart>
      <c:catAx>
        <c:axId val="163741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37289392"/>
        <c:crosses val="autoZero"/>
        <c:auto val="1"/>
        <c:lblAlgn val="ctr"/>
        <c:lblOffset val="100"/>
        <c:noMultiLvlLbl val="0"/>
      </c:catAx>
      <c:valAx>
        <c:axId val="163728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3741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lt1">
                  <a:lumMod val="8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Revenue ($</a:t>
            </a:r>
            <a:r>
              <a:rPr lang="en-GB" baseline="0"/>
              <a:t> millions)</a:t>
            </a:r>
            <a:r>
              <a:rPr lang="en-GB"/>
              <a:t>  over period of 2020-2024FY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 source'!$D$3:$H$3</c:f>
              <c:strCache>
                <c:ptCount val="5"/>
                <c:pt idx="0">
                  <c:v>2020
Act </c:v>
                </c:pt>
                <c:pt idx="1">
                  <c:v>2021
Act </c:v>
                </c:pt>
                <c:pt idx="2">
                  <c:v>2022
Act </c:v>
                </c:pt>
                <c:pt idx="3">
                  <c:v>2023
Act </c:v>
                </c:pt>
                <c:pt idx="4">
                  <c:v>2024
Act </c:v>
                </c:pt>
              </c:strCache>
            </c:strRef>
          </c:cat>
          <c:val>
            <c:numRef>
              <c:f>'P&amp;L source'!$D$6:$H$6</c:f>
              <c:numCache>
                <c:formatCode>_(* #,##0_);_(* \(#,##0\);_(* "-"?_);@_)</c:formatCode>
                <c:ptCount val="5"/>
                <c:pt idx="0">
                  <c:v>23601</c:v>
                </c:pt>
                <c:pt idx="1">
                  <c:v>22929</c:v>
                </c:pt>
                <c:pt idx="2">
                  <c:v>28091</c:v>
                </c:pt>
                <c:pt idx="3">
                  <c:v>33135</c:v>
                </c:pt>
                <c:pt idx="4">
                  <c:v>36289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A5-724C-BC04-F3EB5B84A35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54357504"/>
        <c:axId val="272247776"/>
      </c:lineChart>
      <c:catAx>
        <c:axId val="1354357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272247776"/>
        <c:crosses val="autoZero"/>
        <c:auto val="1"/>
        <c:lblAlgn val="ctr"/>
        <c:lblOffset val="100"/>
        <c:noMultiLvlLbl val="0"/>
      </c:catAx>
      <c:valAx>
        <c:axId val="272247776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354357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Gross Profit ($ millions) over period of 2020-2024FY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 source'!$D$3:$H$3</c:f>
              <c:strCache>
                <c:ptCount val="5"/>
                <c:pt idx="0">
                  <c:v>2020
Act </c:v>
                </c:pt>
                <c:pt idx="1">
                  <c:v>2021
Act </c:v>
                </c:pt>
                <c:pt idx="2">
                  <c:v>2022
Act </c:v>
                </c:pt>
                <c:pt idx="3">
                  <c:v>2023
Act </c:v>
                </c:pt>
                <c:pt idx="4">
                  <c:v>2024
Act </c:v>
                </c:pt>
              </c:strCache>
            </c:strRef>
          </c:cat>
          <c:val>
            <c:numRef>
              <c:f>'P&amp;L source'!$D$10:$H$10</c:f>
              <c:numCache>
                <c:formatCode>_(* #,##0_);_(* \(#,##0\);_(* "-"?_);@_)</c:formatCode>
                <c:ptCount val="5"/>
                <c:pt idx="0">
                  <c:v>2601</c:v>
                </c:pt>
                <c:pt idx="1">
                  <c:v>3658</c:v>
                </c:pt>
                <c:pt idx="2">
                  <c:v>5161</c:v>
                </c:pt>
                <c:pt idx="3">
                  <c:v>6563</c:v>
                </c:pt>
                <c:pt idx="4">
                  <c:v>7460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D7-C242-9974-9357E57FA9DE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43739600"/>
        <c:axId val="1043744192"/>
      </c:lineChart>
      <c:catAx>
        <c:axId val="104373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043744192"/>
        <c:crosses val="autoZero"/>
        <c:auto val="1"/>
        <c:lblAlgn val="ctr"/>
        <c:lblOffset val="100"/>
        <c:noMultiLvlLbl val="0"/>
      </c:catAx>
      <c:valAx>
        <c:axId val="104374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043739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EBIT ($ millions) over period of 2020-2024FY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 source'!$D$3:$H$3</c:f>
              <c:strCache>
                <c:ptCount val="5"/>
                <c:pt idx="0">
                  <c:v>2020
Act </c:v>
                </c:pt>
                <c:pt idx="1">
                  <c:v>2021
Act </c:v>
                </c:pt>
                <c:pt idx="2">
                  <c:v>2022
Act </c:v>
                </c:pt>
                <c:pt idx="3">
                  <c:v>2023
Act </c:v>
                </c:pt>
                <c:pt idx="4">
                  <c:v>2024
Act </c:v>
                </c:pt>
              </c:strCache>
            </c:strRef>
          </c:cat>
          <c:val>
            <c:numRef>
              <c:f>'P&amp;L source'!$D$18:$H$18</c:f>
              <c:numCache>
                <c:formatCode>_(* #,##0_);_(* \(#,##0\);_(* "-"?_);@_)</c:formatCode>
                <c:ptCount val="5"/>
                <c:pt idx="0">
                  <c:v>-11002</c:v>
                </c:pt>
                <c:pt idx="1">
                  <c:v>2765</c:v>
                </c:pt>
                <c:pt idx="2">
                  <c:v>4151</c:v>
                </c:pt>
                <c:pt idx="3">
                  <c:v>5443</c:v>
                </c:pt>
                <c:pt idx="4">
                  <c:v>5804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C-8F42-8DA2-25CBE88E3F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043812512"/>
        <c:axId val="1043810688"/>
      </c:lineChart>
      <c:catAx>
        <c:axId val="104381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043810688"/>
        <c:crosses val="autoZero"/>
        <c:auto val="1"/>
        <c:lblAlgn val="ctr"/>
        <c:lblOffset val="100"/>
        <c:noMultiLvlLbl val="0"/>
      </c:catAx>
      <c:valAx>
        <c:axId val="104381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0438125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Net Income ($ millions) over period</a:t>
            </a:r>
            <a:r>
              <a:rPr lang="en-GB" baseline="0"/>
              <a:t> of 2020-2024FY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'P&amp;L source'!$D$3:$H$3</c:f>
              <c:strCache>
                <c:ptCount val="5"/>
                <c:pt idx="0">
                  <c:v>2020
Act </c:v>
                </c:pt>
                <c:pt idx="1">
                  <c:v>2021
Act </c:v>
                </c:pt>
                <c:pt idx="2">
                  <c:v>2022
Act </c:v>
                </c:pt>
                <c:pt idx="3">
                  <c:v>2023
Act </c:v>
                </c:pt>
                <c:pt idx="4">
                  <c:v>2024
Act </c:v>
                </c:pt>
              </c:strCache>
            </c:strRef>
          </c:cat>
          <c:val>
            <c:numRef>
              <c:f>'P&amp;L source'!$D$25:$H$25</c:f>
              <c:numCache>
                <c:formatCode>_(* #,##0_);_(* \(#,##0\);_(* "-"?_);@_)</c:formatCode>
                <c:ptCount val="5"/>
                <c:pt idx="0">
                  <c:v>-10486</c:v>
                </c:pt>
                <c:pt idx="1">
                  <c:v>1928</c:v>
                </c:pt>
                <c:pt idx="2">
                  <c:v>3492</c:v>
                </c:pt>
                <c:pt idx="3">
                  <c:v>4275</c:v>
                </c:pt>
                <c:pt idx="4">
                  <c:v>4579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70-E24A-8EEF-F90E77B5FF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21432784"/>
        <c:axId val="1621267472"/>
      </c:lineChart>
      <c:catAx>
        <c:axId val="162143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21267472"/>
        <c:crosses val="autoZero"/>
        <c:auto val="1"/>
        <c:lblAlgn val="ctr"/>
        <c:lblOffset val="100"/>
        <c:noMultiLvlLbl val="0"/>
      </c:catAx>
      <c:valAx>
        <c:axId val="162126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_);_(* \(#,##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2143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ROA (%) over period of 2020-2024FY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Ratios!$D$3:$H$3</c:f>
              <c:strCache>
                <c:ptCount val="5"/>
                <c:pt idx="0">
                  <c:v>FY 2020
Actual </c:v>
                </c:pt>
                <c:pt idx="1">
                  <c:v>FY 2021
Actual </c:v>
                </c:pt>
                <c:pt idx="2">
                  <c:v>FY 2022
Actual </c:v>
                </c:pt>
                <c:pt idx="3">
                  <c:v>FY 2023
Actual </c:v>
                </c:pt>
                <c:pt idx="4">
                  <c:v>FY 2024
Actual </c:v>
                </c:pt>
              </c:strCache>
            </c:strRef>
          </c:cat>
          <c:val>
            <c:numRef>
              <c:f>Ratios!$D$8:$H$8</c:f>
              <c:numCache>
                <c:formatCode>0.00%</c:formatCode>
                <c:ptCount val="5"/>
                <c:pt idx="0">
                  <c:v>-0.24711316397228639</c:v>
                </c:pt>
                <c:pt idx="1">
                  <c:v>4.6445520464455207E-2</c:v>
                </c:pt>
                <c:pt idx="2">
                  <c:v>8.0955140836907385E-2</c:v>
                </c:pt>
                <c:pt idx="3">
                  <c:v>8.9142356694538863E-2</c:v>
                </c:pt>
                <c:pt idx="4">
                  <c:v>9.3573107182997856E-2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DB-9B49-B126-635CB4F6E4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415105072"/>
        <c:axId val="1637612768"/>
      </c:lineChart>
      <c:catAx>
        <c:axId val="141510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37612768"/>
        <c:crosses val="autoZero"/>
        <c:auto val="1"/>
        <c:lblAlgn val="ctr"/>
        <c:lblOffset val="100"/>
        <c:noMultiLvlLbl val="0"/>
      </c:catAx>
      <c:valAx>
        <c:axId val="163761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4151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ROE (%)</a:t>
            </a:r>
            <a:r>
              <a:rPr lang="en-GB" baseline="0"/>
              <a:t> over period of 2020-2024FY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Ratios!$D$3:$H$3</c:f>
              <c:strCache>
                <c:ptCount val="5"/>
                <c:pt idx="0">
                  <c:v>FY 2020
Actual </c:v>
                </c:pt>
                <c:pt idx="1">
                  <c:v>FY 2021
Actual </c:v>
                </c:pt>
                <c:pt idx="2">
                  <c:v>FY 2022
Actual </c:v>
                </c:pt>
                <c:pt idx="3">
                  <c:v>FY 2023
Actual </c:v>
                </c:pt>
                <c:pt idx="4">
                  <c:v>FY 2024
Actual </c:v>
                </c:pt>
              </c:strCache>
            </c:strRef>
          </c:cat>
          <c:val>
            <c:numRef>
              <c:f>Ratios!$D$9:$H$9</c:f>
              <c:numCache>
                <c:formatCode>0.00%</c:formatCode>
                <c:ptCount val="5"/>
                <c:pt idx="0">
                  <c:v>-0.83961886460084878</c:v>
                </c:pt>
                <c:pt idx="1">
                  <c:v>0.12612848357974618</c:v>
                </c:pt>
                <c:pt idx="2">
                  <c:v>0.19411862805047528</c:v>
                </c:pt>
                <c:pt idx="3">
                  <c:v>0.20014981974811555</c:v>
                </c:pt>
                <c:pt idx="4">
                  <c:v>0.20487695749440715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5E-5940-8135-DBB6BAD26A2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21471712"/>
        <c:axId val="1615079376"/>
      </c:lineChart>
      <c:catAx>
        <c:axId val="162147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15079376"/>
        <c:crosses val="autoZero"/>
        <c:auto val="1"/>
        <c:lblAlgn val="ctr"/>
        <c:lblOffset val="100"/>
        <c:noMultiLvlLbl val="0"/>
      </c:catAx>
      <c:valAx>
        <c:axId val="16150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62147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Debt to Equity Ratio over period of 2020-2024FY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Ratios!$D$3:$H$3</c:f>
              <c:strCache>
                <c:ptCount val="5"/>
                <c:pt idx="0">
                  <c:v>FY 2020
Actual </c:v>
                </c:pt>
                <c:pt idx="1">
                  <c:v>FY 2021
Actual </c:v>
                </c:pt>
                <c:pt idx="2">
                  <c:v>FY 2022
Actual </c:v>
                </c:pt>
                <c:pt idx="3">
                  <c:v>FY 2023
Actual </c:v>
                </c:pt>
                <c:pt idx="4">
                  <c:v>FY 2024
Actual </c:v>
                </c:pt>
              </c:strCache>
            </c:strRef>
          </c:cat>
          <c:val>
            <c:numRef>
              <c:f>Ratios!$D$18:$H$18</c:f>
              <c:numCache>
                <c:formatCode>_(* #,##0.0_);_(* \(#,##0.0\);_(* "-"?_);@_)</c:formatCode>
                <c:ptCount val="5"/>
                <c:pt idx="0">
                  <c:v>1.3520698214428697</c:v>
                </c:pt>
                <c:pt idx="1">
                  <c:v>0.92862750228967683</c:v>
                </c:pt>
                <c:pt idx="2">
                  <c:v>0.67963755628439604</c:v>
                </c:pt>
                <c:pt idx="3">
                  <c:v>0.56018540193829303</c:v>
                </c:pt>
                <c:pt idx="4">
                  <c:v>0.54022371364653243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2D-CD43-9AB1-00B0E29356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69966736"/>
        <c:axId val="1222803776"/>
      </c:lineChart>
      <c:catAx>
        <c:axId val="1369966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222803776"/>
        <c:crosses val="autoZero"/>
        <c:auto val="1"/>
        <c:lblAlgn val="ctr"/>
        <c:lblOffset val="100"/>
        <c:noMultiLvlLbl val="0"/>
      </c:catAx>
      <c:valAx>
        <c:axId val="122280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(* #,##0.0_);_(* \(#,##0.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lt1">
                    <a:lumMod val="8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DE"/>
          </a:p>
        </c:txPr>
        <c:crossAx val="1369966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>
                <a:solidFill>
                  <a:srgbClr val="002060"/>
                </a:solidFill>
              </a:rPr>
              <a:t>Enterprise Value: Scenario 1 (Optimistic Case)</a:t>
            </a:r>
            <a:endParaRPr lang="en-US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2.9312686889069208E-2"/>
          <c:y val="3.340294471944156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832203773971149"/>
          <c:y val="0.16827588202185131"/>
          <c:w val="0.47231870389460373"/>
          <c:h val="0.70798549558221946"/>
        </c:manualLayout>
      </c:layout>
      <c:doughnutChart>
        <c:varyColors val="1"/>
        <c:ser>
          <c:idx val="0"/>
          <c:order val="0"/>
          <c:dPt>
            <c:idx val="1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1-A790-2449-8FC0-804CABE966D0}"/>
              </c:ext>
            </c:extLst>
          </c:dPt>
          <c:dLbls>
            <c:dLbl>
              <c:idx val="0"/>
              <c:layout>
                <c:manualLayout>
                  <c:x val="-1.4856081708449397E-2"/>
                  <c:y val="-3.88780468132187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29%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A790-2449-8FC0-804CABE966D0}"/>
                </c:ext>
              </c:extLst>
            </c:dLbl>
            <c:dLbl>
              <c:idx val="1"/>
              <c:layout>
                <c:manualLayout>
                  <c:x val="3.9170181466448663E-2"/>
                  <c:y val="3.8416893298194491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A790-2449-8FC0-804CABE966D0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CFs in Forecast period</c:v>
              </c:pt>
              <c:pt idx="1">
                <c:v>Continuing Value</c:v>
              </c:pt>
            </c:strLit>
          </c:cat>
          <c:val>
            <c:numLit>
              <c:formatCode>General</c:formatCode>
              <c:ptCount val="2"/>
              <c:pt idx="0">
                <c:v>0.30085866160702229</c:v>
              </c:pt>
              <c:pt idx="1">
                <c:v>0.69914133839297776</c:v>
              </c:pt>
            </c:numLit>
          </c:val>
          <c:extLst>
            <c:ext xmlns:c16="http://schemas.microsoft.com/office/drawing/2014/chart" uri="{C3380CC4-5D6E-409C-BE32-E72D297353CC}">
              <c16:uniqueId val="{00000003-A790-2449-8FC0-804CABE96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layout>
        <c:manualLayout>
          <c:xMode val="edge"/>
          <c:yMode val="edge"/>
          <c:x val="0.64373676235707755"/>
          <c:y val="0.36810746454991944"/>
          <c:w val="0.3322392211930919"/>
          <c:h val="0.26378507090016112"/>
        </c:manualLayout>
      </c:layout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>
                <a:solidFill>
                  <a:srgbClr val="002060"/>
                </a:solidFill>
              </a:rPr>
              <a:t>Enterprise Value: Scenario 2 (Base Case)</a:t>
            </a:r>
            <a:endParaRPr lang="en-US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2.9312686889069208E-2"/>
          <c:y val="3.340294471944156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832203773971149"/>
          <c:y val="0.16827588202185131"/>
          <c:w val="0.47231870389460373"/>
          <c:h val="0.70798549558221946"/>
        </c:manualLayout>
      </c:layout>
      <c:doughnutChart>
        <c:varyColors val="1"/>
        <c:ser>
          <c:idx val="0"/>
          <c:order val="0"/>
          <c:dPt>
            <c:idx val="1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1-01E4-C949-9D31-771349C64BBC}"/>
              </c:ext>
            </c:extLst>
          </c:dPt>
          <c:dLbls>
            <c:dLbl>
              <c:idx val="0"/>
              <c:layout>
                <c:manualLayout>
                  <c:x val="-1.4856081708449397E-2"/>
                  <c:y val="-3.88780468132187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01E4-C949-9D31-771349C64BBC}"/>
                </c:ext>
              </c:extLst>
            </c:dLbl>
            <c:dLbl>
              <c:idx val="1"/>
              <c:layout>
                <c:manualLayout>
                  <c:x val="3.3426183844011144E-2"/>
                  <c:y val="3.284973584495423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70%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01E4-C949-9D31-771349C64BBC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CFs in Forecast period</c:v>
              </c:pt>
              <c:pt idx="1">
                <c:v>Continuing Value</c:v>
              </c:pt>
            </c:strLit>
          </c:cat>
          <c:val>
            <c:numLit>
              <c:formatCode>General</c:formatCode>
              <c:ptCount val="2"/>
              <c:pt idx="0">
                <c:v>0.31591165336933186</c:v>
              </c:pt>
              <c:pt idx="1">
                <c:v>0.6840883466306682</c:v>
              </c:pt>
            </c:numLit>
          </c:val>
          <c:extLst>
            <c:ext xmlns:c16="http://schemas.microsoft.com/office/drawing/2014/chart" uri="{C3380CC4-5D6E-409C-BE32-E72D297353CC}">
              <c16:uniqueId val="{00000003-01E4-C949-9D31-771349C64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aseline="0">
                <a:solidFill>
                  <a:srgbClr val="002060"/>
                </a:solidFill>
              </a:rPr>
              <a:t>Enterprise Value: Scenario 3 (Conservative Case)</a:t>
            </a:r>
          </a:p>
        </c:rich>
      </c:tx>
      <c:layout>
        <c:manualLayout>
          <c:xMode val="edge"/>
          <c:yMode val="edge"/>
          <c:x val="2.9312686889069208E-2"/>
          <c:y val="3.3402944719441566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832203773971149"/>
          <c:y val="0.16827588202185131"/>
          <c:w val="0.47231870389460373"/>
          <c:h val="0.70798549558221946"/>
        </c:manualLayout>
      </c:layout>
      <c:doughnutChart>
        <c:varyColors val="1"/>
        <c:ser>
          <c:idx val="0"/>
          <c:order val="0"/>
          <c:dPt>
            <c:idx val="1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1-7323-D24F-BFFC-8A909957E331}"/>
              </c:ext>
            </c:extLst>
          </c:dPt>
          <c:dLbls>
            <c:dLbl>
              <c:idx val="0"/>
              <c:layout>
                <c:manualLayout>
                  <c:x val="-1.4856081708449397E-2"/>
                  <c:y val="-3.8878046813218797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31%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7323-D24F-BFFC-8A909957E331}"/>
                </c:ext>
              </c:extLst>
            </c:dLbl>
            <c:dLbl>
              <c:idx val="1"/>
              <c:layout>
                <c:manualLayout>
                  <c:x val="4.456824512534819E-2"/>
                  <c:y val="6.6252680564395788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1-7323-D24F-BFFC-8A909957E33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CFs in Forecast period</c:v>
              </c:pt>
              <c:pt idx="1">
                <c:v>Continuing Value</c:v>
              </c:pt>
            </c:strLit>
          </c:cat>
          <c:val>
            <c:numLit>
              <c:formatCode>General</c:formatCode>
              <c:ptCount val="2"/>
              <c:pt idx="0">
                <c:v>0.33470503116615574</c:v>
              </c:pt>
              <c:pt idx="1">
                <c:v>0.6652949688338442</c:v>
              </c:pt>
            </c:numLit>
          </c:val>
          <c:extLst>
            <c:ext xmlns:c16="http://schemas.microsoft.com/office/drawing/2014/chart" uri="{C3380CC4-5D6E-409C-BE32-E72D297353CC}">
              <c16:uniqueId val="{00000003-7323-D24F-BFFC-8A909957E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r"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'Revenues&amp;Ebitda'!$B$4</c:f>
              <c:strCache>
                <c:ptCount val="1"/>
                <c:pt idx="0">
                  <c:v>Revenues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dPt>
            <c:idx val="4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4757-F747-858F-4F036593F08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4757-F747-858F-4F036593F08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4757-F747-858F-4F036593F08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4757-F747-858F-4F036593F08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4757-F747-858F-4F036593F080}"/>
              </c:ext>
            </c:extLst>
          </c:dPt>
          <c:dLbls>
            <c:spPr>
              <a:solidFill>
                <a:schemeClr val="bg1">
                  <a:lumMod val="85000"/>
                </a:schemeClr>
              </a:solidFill>
            </c:spPr>
            <c:txPr>
              <a:bodyPr/>
              <a:lstStyle/>
              <a:p>
                <a:pPr>
                  <a:defRPr sz="700"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'Revenues&amp;Ebitda'!$C$3:$K$3</c:f>
              <c:strCache>
                <c:ptCount val="9"/>
                <c:pt idx="0">
                  <c:v>FY 2022
Actual </c:v>
                </c:pt>
                <c:pt idx="1">
                  <c:v>FY 2023
Actual </c:v>
                </c:pt>
                <c:pt idx="2">
                  <c:v>FY 2024
Actual </c:v>
                </c:pt>
                <c:pt idx="4">
                  <c:v>FY 2025
Forecast </c:v>
                </c:pt>
                <c:pt idx="5">
                  <c:v>FY 2026
Forecast </c:v>
                </c:pt>
                <c:pt idx="6">
                  <c:v>FY 2027
Forecast </c:v>
                </c:pt>
                <c:pt idx="7">
                  <c:v>FY 2028
Forecast </c:v>
                </c:pt>
                <c:pt idx="8">
                  <c:v>FY 2029
Forecast </c:v>
                </c:pt>
              </c:strCache>
            </c:strRef>
          </c:cat>
          <c:val>
            <c:numRef>
              <c:f>'Revenues&amp;Ebitda'!$C$4:$K$4</c:f>
              <c:numCache>
                <c:formatCode>_(* #,##0_);_(* \(#,##0\);_(* "-"??_);_(@_)</c:formatCode>
                <c:ptCount val="9"/>
                <c:pt idx="0">
                  <c:v>28091</c:v>
                </c:pt>
                <c:pt idx="1">
                  <c:v>33135</c:v>
                </c:pt>
                <c:pt idx="2">
                  <c:v>36289</c:v>
                </c:pt>
                <c:pt idx="3">
                  <c:v>0</c:v>
                </c:pt>
                <c:pt idx="4">
                  <c:v>38116.884999999995</c:v>
                </c:pt>
                <c:pt idx="5">
                  <c:v>40038.717624999997</c:v>
                </c:pt>
                <c:pt idx="6">
                  <c:v>42059.427086124997</c:v>
                </c:pt>
                <c:pt idx="7">
                  <c:v>44184.206503080626</c:v>
                </c:pt>
                <c:pt idx="8">
                  <c:v>46418.527305684052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757-F747-858F-4F036593F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04562048"/>
        <c:axId val="104576128"/>
      </c:barChart>
      <c:lineChart>
        <c:grouping val="standard"/>
        <c:varyColors val="0"/>
        <c:ser>
          <c:idx val="1"/>
          <c:order val="1"/>
          <c:tx>
            <c:strRef>
              <c:f>'Revenues&amp;Ebitda'!$B$6</c:f>
              <c:strCache>
                <c:ptCount val="1"/>
                <c:pt idx="0">
                  <c:v>EBITDA%</c:v>
                </c:pt>
              </c:strCache>
            </c:strRef>
          </c:tx>
          <c:marker>
            <c:symbol val="none"/>
          </c:marker>
          <c:dLbls>
            <c:spPr>
              <a:solidFill>
                <a:schemeClr val="accent2">
                  <a:lumMod val="60000"/>
                  <a:lumOff val="40000"/>
                </a:schemeClr>
              </a:solidFill>
            </c:spPr>
            <c:txPr>
              <a:bodyPr/>
              <a:lstStyle/>
              <a:p>
                <a:pPr>
                  <a:defRPr sz="700"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'Revenues&amp;Ebitda'!$C$3:$K$3</c:f>
              <c:strCache>
                <c:ptCount val="9"/>
                <c:pt idx="0">
                  <c:v>FY 2022
Actual </c:v>
                </c:pt>
                <c:pt idx="1">
                  <c:v>FY 2023
Actual </c:v>
                </c:pt>
                <c:pt idx="2">
                  <c:v>FY 2024
Actual </c:v>
                </c:pt>
                <c:pt idx="4">
                  <c:v>FY 2025
Forecast </c:v>
                </c:pt>
                <c:pt idx="5">
                  <c:v>FY 2026
Forecast </c:v>
                </c:pt>
                <c:pt idx="6">
                  <c:v>FY 2027
Forecast </c:v>
                </c:pt>
                <c:pt idx="7">
                  <c:v>FY 2028
Forecast </c:v>
                </c:pt>
                <c:pt idx="8">
                  <c:v>FY 2029
Forecast </c:v>
                </c:pt>
              </c:strCache>
            </c:strRef>
          </c:cat>
          <c:val>
            <c:numRef>
              <c:f>'Revenues&amp;Ebitda'!$C$6:$K$6</c:f>
              <c:numCache>
                <c:formatCode>0.0%</c:formatCode>
                <c:ptCount val="9"/>
                <c:pt idx="0">
                  <c:v>0.22419992168310135</c:v>
                </c:pt>
                <c:pt idx="1">
                  <c:v>0.23404255319148937</c:v>
                </c:pt>
                <c:pt idx="2">
                  <c:v>0.22935324754057704</c:v>
                </c:pt>
                <c:pt idx="4">
                  <c:v>0.2422897465257195</c:v>
                </c:pt>
                <c:pt idx="5">
                  <c:v>0.24200964802066385</c:v>
                </c:pt>
                <c:pt idx="6">
                  <c:v>0.24172846635721543</c:v>
                </c:pt>
                <c:pt idx="7">
                  <c:v>0.24144622396081747</c:v>
                </c:pt>
                <c:pt idx="8">
                  <c:v>0.24116294364267199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4757-F747-858F-4F036593F0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579840"/>
        <c:axId val="104578048"/>
      </c:lineChart>
      <c:catAx>
        <c:axId val="104562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576128"/>
        <c:crosses val="autoZero"/>
        <c:auto val="1"/>
        <c:lblAlgn val="ctr"/>
        <c:lblOffset val="100"/>
        <c:noMultiLvlLbl val="0"/>
      </c:catAx>
      <c:valAx>
        <c:axId val="104576128"/>
        <c:scaling>
          <c:orientation val="minMax"/>
          <c:max val="70000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USD in millions 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</c:spPr>
        <c:crossAx val="104562048"/>
        <c:crosses val="autoZero"/>
        <c:crossBetween val="between"/>
        <c:majorUnit val="10000"/>
      </c:valAx>
      <c:valAx>
        <c:axId val="104578048"/>
        <c:scaling>
          <c:orientation val="minMax"/>
          <c:max val="0.35"/>
          <c:min val="5.000000000000001E-2"/>
        </c:scaling>
        <c:delete val="0"/>
        <c:axPos val="r"/>
        <c:numFmt formatCode="0.0%" sourceLinked="1"/>
        <c:majorTickMark val="out"/>
        <c:minorTickMark val="none"/>
        <c:tickLblPos val="nextTo"/>
        <c:crossAx val="104579840"/>
        <c:crosses val="max"/>
        <c:crossBetween val="between"/>
        <c:majorUnit val="5.000000000000001E-2"/>
      </c:valAx>
      <c:catAx>
        <c:axId val="104579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457804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'Cash flows'!$B$4</c:f>
              <c:strCache>
                <c:ptCount val="1"/>
                <c:pt idx="0">
                  <c:v>UFCF </c:v>
                </c:pt>
              </c:strCache>
            </c:strRef>
          </c:tx>
          <c:spPr>
            <a:solidFill>
              <a:srgbClr val="002060"/>
            </a:solidFill>
          </c:spPr>
          <c:cat>
            <c:strRef>
              <c:f>'Cash flows'!$C$3:$G$3</c:f>
              <c:strCache>
                <c:ptCount val="5"/>
                <c:pt idx="0">
                  <c:v>FY 2025
Forecast </c:v>
                </c:pt>
                <c:pt idx="1">
                  <c:v>FY 2026
Forecast </c:v>
                </c:pt>
                <c:pt idx="2">
                  <c:v>FY 2027
Forecast </c:v>
                </c:pt>
                <c:pt idx="3">
                  <c:v>FY 2028
Forecast </c:v>
                </c:pt>
                <c:pt idx="4">
                  <c:v>FY 2029
Forecast </c:v>
                </c:pt>
              </c:strCache>
            </c:strRef>
          </c:cat>
          <c:val>
            <c:numRef>
              <c:f>'Cash flows'!$C$4:$G$4</c:f>
              <c:numCache>
                <c:formatCode>_(* #,##0_);_(* \(#,##0\);_(* "-"?_);@_)</c:formatCode>
                <c:ptCount val="5"/>
                <c:pt idx="0">
                  <c:v>5825.4720389999984</c:v>
                </c:pt>
                <c:pt idx="1">
                  <c:v>6110.2173450749997</c:v>
                </c:pt>
                <c:pt idx="2">
                  <c:v>6409.1321337825711</c:v>
                </c:pt>
                <c:pt idx="3">
                  <c:v>6722.9353884727434</c:v>
                </c:pt>
                <c:pt idx="4">
                  <c:v>7052.3833281441657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93-8D49-BBB9-5CCC8F88ACE1}"/>
            </c:ext>
          </c:extLst>
        </c:ser>
        <c:ser>
          <c:idx val="1"/>
          <c:order val="1"/>
          <c:tx>
            <c:strRef>
              <c:f>'Cash flows'!$B$5</c:f>
              <c:strCache>
                <c:ptCount val="1"/>
                <c:pt idx="0">
                  <c:v>Present value of UFCF 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cat>
            <c:strRef>
              <c:f>'Cash flows'!$C$3:$G$3</c:f>
              <c:strCache>
                <c:ptCount val="5"/>
                <c:pt idx="0">
                  <c:v>FY 2025
Forecast </c:v>
                </c:pt>
                <c:pt idx="1">
                  <c:v>FY 2026
Forecast </c:v>
                </c:pt>
                <c:pt idx="2">
                  <c:v>FY 2027
Forecast </c:v>
                </c:pt>
                <c:pt idx="3">
                  <c:v>FY 2028
Forecast </c:v>
                </c:pt>
                <c:pt idx="4">
                  <c:v>FY 2029
Forecast </c:v>
                </c:pt>
              </c:strCache>
            </c:strRef>
          </c:cat>
          <c:val>
            <c:numRef>
              <c:f>'Cash flows'!$C$5:$G$5</c:f>
              <c:numCache>
                <c:formatCode>_(* #,##0_);_(* \(#,##0\);_(* "-"?_);@_)</c:formatCode>
                <c:ptCount val="5"/>
                <c:pt idx="0">
                  <c:v>5334.1540273105884</c:v>
                </c:pt>
                <c:pt idx="1">
                  <c:v>5123.0137169223999</c:v>
                </c:pt>
                <c:pt idx="2">
                  <c:v>4920.4238544045529</c:v>
                </c:pt>
                <c:pt idx="3">
                  <c:v>4726.0319948705555</c:v>
                </c:pt>
                <c:pt idx="4">
                  <c:v>4539.5004145997455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93-8D49-BBB9-5CCC8F88AC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945920"/>
        <c:axId val="104972288"/>
      </c:areaChart>
      <c:catAx>
        <c:axId val="104945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4972288"/>
        <c:crosses val="autoZero"/>
        <c:auto val="1"/>
        <c:lblAlgn val="ctr"/>
        <c:lblOffset val="100"/>
        <c:noMultiLvlLbl val="0"/>
      </c:catAx>
      <c:valAx>
        <c:axId val="104972288"/>
        <c:scaling>
          <c:orientation val="minMax"/>
          <c:max val="8000"/>
          <c:min val="0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28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/>
                  <a:t>USD in</a:t>
                </a:r>
                <a:r>
                  <a:rPr lang="en-US" b="0" baseline="0"/>
                  <a:t> millions</a:t>
                </a:r>
                <a:endParaRPr lang="en-US" b="0"/>
              </a:p>
            </c:rich>
          </c:tx>
          <c:overlay val="0"/>
        </c:title>
        <c:numFmt formatCode="_(* #,##0_);_(* \(#,##0\);_(* &quot;-&quot;?_);@_)" sourceLinked="1"/>
        <c:majorTickMark val="out"/>
        <c:minorTickMark val="none"/>
        <c:tickLblPos val="nextTo"/>
        <c:crossAx val="104945920"/>
        <c:crosses val="autoZero"/>
        <c:crossBetween val="midCat"/>
        <c:majorUnit val="1000"/>
      </c:valAx>
    </c:plotArea>
    <c:legend>
      <c:legendPos val="b"/>
      <c:overlay val="0"/>
    </c:legend>
    <c:plotVisOnly val="1"/>
    <c:dispBlanksAs val="zero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01-414E-924C-AE15-C233141AFD2F}"/>
              </c:ext>
            </c:extLst>
          </c:dPt>
          <c:dPt>
            <c:idx val="1"/>
            <c:invertIfNegative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3-414E-924C-AE15-C233141AFD2F}"/>
              </c:ext>
            </c:extLst>
          </c:dPt>
          <c:dPt>
            <c:idx val="2"/>
            <c:invertIfNegative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5-414E-924C-AE15-C233141AFD2F}"/>
              </c:ext>
            </c:extLst>
          </c:dPt>
          <c:dPt>
            <c:idx val="3"/>
            <c:invertIfNegative val="0"/>
            <c:bubble3D val="0"/>
            <c:spPr>
              <a:noFill/>
            </c:spPr>
            <c:extLst>
              <c:ext xmlns:c16="http://schemas.microsoft.com/office/drawing/2014/chart" uri="{C3380CC4-5D6E-409C-BE32-E72D297353CC}">
                <c16:uniqueId val="{00000007-414E-924C-AE15-C233141AFD2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14E-924C-AE15-C233141AFD2F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'Ebitda bridge'!$K$4:$O$4</c:f>
              <c:strCache>
                <c:ptCount val="5"/>
                <c:pt idx="0">
                  <c:v>EBITDA FY24</c:v>
                </c:pt>
                <c:pt idx="1">
                  <c:v>Delta Revenues</c:v>
                </c:pt>
                <c:pt idx="2">
                  <c:v>Delta Cost of revenue</c:v>
                </c:pt>
                <c:pt idx="3">
                  <c:v>Delta Opex</c:v>
                </c:pt>
                <c:pt idx="4">
                  <c:v>EBITDA FY25</c:v>
                </c:pt>
              </c:strCache>
            </c:strRef>
          </c:cat>
          <c:val>
            <c:numRef>
              <c:f>'Ebitda bridge'!$K$2:$O$2</c:f>
              <c:numCache>
                <c:formatCode>0.0</c:formatCode>
                <c:ptCount val="5"/>
                <c:pt idx="0">
                  <c:v>8323</c:v>
                </c:pt>
                <c:pt idx="1">
                  <c:v>8323</c:v>
                </c:pt>
                <c:pt idx="2">
                  <c:v>11651.88122499999</c:v>
                </c:pt>
                <c:pt idx="3">
                  <c:v>11651.88122499999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4E-924C-AE15-C233141AFD2F}"/>
            </c:ext>
          </c:extLst>
        </c:ser>
        <c:ser>
          <c:idx val="1"/>
          <c:order val="1"/>
          <c:invertIfNegative val="0"/>
          <c:dPt>
            <c:idx val="1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A-414E-924C-AE15-C233141AFD2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C-414E-924C-AE15-C233141AFD2F}"/>
              </c:ext>
            </c:extLst>
          </c:dPt>
          <c:dPt>
            <c:idx val="3"/>
            <c:invertIfNegative val="0"/>
            <c:bubble3D val="0"/>
            <c:spPr>
              <a:solidFill>
                <a:srgbClr val="0070C0"/>
              </a:solidFill>
            </c:spPr>
            <c:extLst>
              <c:ext xmlns:c16="http://schemas.microsoft.com/office/drawing/2014/chart" uri="{C3380CC4-5D6E-409C-BE32-E72D297353CC}">
                <c16:uniqueId val="{0000000E-414E-924C-AE15-C233141AFD2F}"/>
              </c:ext>
            </c:extLst>
          </c:dPt>
          <c:dPt>
            <c:idx val="4"/>
            <c:invertIfNegative val="0"/>
            <c:bubble3D val="0"/>
            <c:spPr>
              <a:solidFill>
                <a:srgbClr val="002060"/>
              </a:solidFill>
            </c:spPr>
            <c:extLst>
              <c:ext xmlns:c16="http://schemas.microsoft.com/office/drawing/2014/chart" uri="{C3380CC4-5D6E-409C-BE32-E72D297353CC}">
                <c16:uniqueId val="{00000010-414E-924C-AE15-C233141AFD2F}"/>
              </c:ext>
            </c:extLst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414E-924C-AE15-C233141AFD2F}"/>
                </c:ext>
              </c:extLst>
            </c:dLbl>
            <c:dLbl>
              <c:idx val="3"/>
              <c:layout>
                <c:manualLayout>
                  <c:x val="-1.7137960582690661E-3"/>
                  <c:y val="-5.0925925925925923E-2"/>
                </c:manualLayout>
              </c:layout>
              <c:tx>
                <c:rich>
                  <a:bodyPr/>
                  <a:lstStyle/>
                  <a:p>
                    <a:r>
                      <a:rPr lang="en-US">
                        <a:solidFill>
                          <a:sysClr val="windowText" lastClr="000000"/>
                        </a:solidFill>
                      </a:rPr>
                      <a:t>-166,1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414E-924C-AE15-C233141AFD2F}"/>
                </c:ext>
              </c:extLst>
            </c:dLbl>
            <c:numFmt formatCode="#,##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'Ebitda bridge'!$K$4:$O$4</c:f>
              <c:strCache>
                <c:ptCount val="5"/>
                <c:pt idx="0">
                  <c:v>EBITDA FY24</c:v>
                </c:pt>
                <c:pt idx="1">
                  <c:v>Delta Revenues</c:v>
                </c:pt>
                <c:pt idx="2">
                  <c:v>Delta Cost of revenue</c:v>
                </c:pt>
                <c:pt idx="3">
                  <c:v>Delta Opex</c:v>
                </c:pt>
                <c:pt idx="4">
                  <c:v>EBITDA FY25</c:v>
                </c:pt>
              </c:strCache>
            </c:strRef>
          </c:cat>
          <c:val>
            <c:numRef>
              <c:f>'Ebitda bridge'!$K$3:$O$3</c:f>
              <c:numCache>
                <c:formatCode>0.0</c:formatCode>
                <c:ptCount val="5"/>
                <c:pt idx="0" formatCode="General">
                  <c:v>0</c:v>
                </c:pt>
                <c:pt idx="1">
                  <c:v>1827.8849999999948</c:v>
                </c:pt>
                <c:pt idx="2">
                  <c:v>-1500.9962249999953</c:v>
                </c:pt>
                <c:pt idx="3">
                  <c:v>-85.740319999999883</c:v>
                </c:pt>
                <c:pt idx="4">
                  <c:v>11566.140904999989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14E-924C-AE15-C233141AFD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909056"/>
        <c:axId val="104921728"/>
      </c:barChart>
      <c:catAx>
        <c:axId val="104909056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spPr>
          <a:ln>
            <a:noFill/>
          </a:ln>
        </c:spPr>
        <c:crossAx val="104921728"/>
        <c:crosses val="autoZero"/>
        <c:auto val="1"/>
        <c:lblAlgn val="ctr"/>
        <c:lblOffset val="100"/>
        <c:noMultiLvlLbl val="0"/>
      </c:catAx>
      <c:valAx>
        <c:axId val="104921728"/>
        <c:scaling>
          <c:orientation val="minMax"/>
          <c:min val="-2000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24000"/>
                </a:schemeClr>
              </a:solidFill>
            </a:ln>
          </c:spPr>
        </c:majorGridlines>
        <c:numFmt formatCode="#,##0" sourceLinked="0"/>
        <c:majorTickMark val="out"/>
        <c:minorTickMark val="none"/>
        <c:tickLblPos val="nextTo"/>
        <c:spPr>
          <a:ln>
            <a:noFill/>
          </a:ln>
        </c:spPr>
        <c:crossAx val="104909056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1">
                <a:solidFill>
                  <a:srgbClr val="002060"/>
                </a:solidFill>
              </a:rPr>
              <a:t>FY22-FY29:</a:t>
            </a:r>
            <a:r>
              <a:rPr lang="en-US" b="1" baseline="0">
                <a:solidFill>
                  <a:srgbClr val="002060"/>
                </a:solidFill>
              </a:rPr>
              <a:t> </a:t>
            </a:r>
            <a:r>
              <a:rPr lang="en-US" b="1">
                <a:solidFill>
                  <a:srgbClr val="002060"/>
                </a:solidFill>
              </a:rPr>
              <a:t>Working</a:t>
            </a:r>
            <a:r>
              <a:rPr lang="en-US" b="1" baseline="0">
                <a:solidFill>
                  <a:srgbClr val="002060"/>
                </a:solidFill>
              </a:rPr>
              <a:t> capital development</a:t>
            </a:r>
            <a:endParaRPr lang="en-US" b="1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1.0693830557425685E-2"/>
          <c:y val="2.3937766331211228E-2"/>
        </c:manualLayout>
      </c:layout>
      <c:overlay val="0"/>
    </c:title>
    <c:autoTitleDeleted val="0"/>
    <c:plotArea>
      <c:layout/>
      <c:areaChart>
        <c:grouping val="standard"/>
        <c:varyColors val="0"/>
        <c:ser>
          <c:idx val="3"/>
          <c:order val="3"/>
          <c:tx>
            <c:strRef>
              <c:f>'Working capital'!$B$7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val>
            <c:numRef>
              <c:f>'Working capital'!$C$7:$K$7</c:f>
              <c:numCache>
                <c:formatCode>_(* #,##0_);_(* \(#,##0\);_(* "-"??_);_(@_)</c:formatCode>
                <c:ptCount val="9"/>
                <c:pt idx="0">
                  <c:v>1644</c:v>
                </c:pt>
                <c:pt idx="1">
                  <c:v>1295</c:v>
                </c:pt>
                <c:pt idx="2">
                  <c:v>2011</c:v>
                </c:pt>
                <c:pt idx="4">
                  <c:v>1099.150609246577</c:v>
                </c:pt>
                <c:pt idx="5">
                  <c:v>1151.0176863886973</c:v>
                </c:pt>
                <c:pt idx="6">
                  <c:v>1205.3630999857778</c:v>
                </c:pt>
                <c:pt idx="7">
                  <c:v>1262.3070342573028</c:v>
                </c:pt>
                <c:pt idx="8">
                  <c:v>1321.975601257378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49-CB4F-A9C2-4F7A53CD2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145088"/>
        <c:axId val="105142912"/>
      </c:areaChart>
      <c:barChart>
        <c:barDir val="col"/>
        <c:grouping val="clustered"/>
        <c:varyColors val="0"/>
        <c:ser>
          <c:idx val="0"/>
          <c:order val="0"/>
          <c:tx>
            <c:strRef>
              <c:f>'Working capital'!$B$9</c:f>
              <c:strCache>
                <c:ptCount val="1"/>
                <c:pt idx="0">
                  <c:v>DSO </c:v>
                </c:pt>
              </c:strCache>
            </c:strRef>
          </c:tx>
          <c:spPr>
            <a:solidFill>
              <a:srgbClr val="00206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'Working capital'!$C$3:$K$3</c:f>
              <c:strCache>
                <c:ptCount val="9"/>
                <c:pt idx="0">
                  <c:v>FY 2022
Actual </c:v>
                </c:pt>
                <c:pt idx="1">
                  <c:v>FY 2023
Actual </c:v>
                </c:pt>
                <c:pt idx="2">
                  <c:v>FY 2024
Actual </c:v>
                </c:pt>
                <c:pt idx="4">
                  <c:v>FY 2025
Forecast </c:v>
                </c:pt>
                <c:pt idx="5">
                  <c:v>FY 2026
Forecast </c:v>
                </c:pt>
                <c:pt idx="6">
                  <c:v>FY 2027
Forecast </c:v>
                </c:pt>
                <c:pt idx="7">
                  <c:v>FY 2028
Forecast </c:v>
                </c:pt>
                <c:pt idx="8">
                  <c:v>FY 2029
Forecast </c:v>
                </c:pt>
              </c:strCache>
            </c:strRef>
          </c:cat>
          <c:val>
            <c:numRef>
              <c:f>'Working capital'!$C$9:$K$9</c:f>
              <c:numCache>
                <c:formatCode>_(* #,##0_);_(* \(#,##0\);_(* "-"??_);_(@_)</c:formatCode>
                <c:ptCount val="9"/>
                <c:pt idx="0">
                  <c:v>126.30881751227497</c:v>
                </c:pt>
                <c:pt idx="1">
                  <c:v>127.07250768750836</c:v>
                </c:pt>
                <c:pt idx="2">
                  <c:v>125.5103661415633</c:v>
                </c:pt>
                <c:pt idx="3">
                  <c:v>0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49-CB4F-A9C2-4F7A53CD28AF}"/>
            </c:ext>
          </c:extLst>
        </c:ser>
        <c:ser>
          <c:idx val="1"/>
          <c:order val="1"/>
          <c:tx>
            <c:strRef>
              <c:f>'Working capital'!$B$10</c:f>
              <c:strCache>
                <c:ptCount val="1"/>
                <c:pt idx="0">
                  <c:v>DIO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'Working capital'!$C$3:$K$3</c:f>
              <c:strCache>
                <c:ptCount val="9"/>
                <c:pt idx="0">
                  <c:v>FY 2022
Actual </c:v>
                </c:pt>
                <c:pt idx="1">
                  <c:v>FY 2023
Actual </c:v>
                </c:pt>
                <c:pt idx="2">
                  <c:v>FY 2024
Actual </c:v>
                </c:pt>
                <c:pt idx="4">
                  <c:v>FY 2025
Forecast </c:v>
                </c:pt>
                <c:pt idx="5">
                  <c:v>FY 2026
Forecast </c:v>
                </c:pt>
                <c:pt idx="6">
                  <c:v>FY 2027
Forecast </c:v>
                </c:pt>
                <c:pt idx="7">
                  <c:v>FY 2028
Forecast </c:v>
                </c:pt>
                <c:pt idx="8">
                  <c:v>FY 2029
Forecast </c:v>
                </c:pt>
              </c:strCache>
            </c:strRef>
          </c:cat>
          <c:val>
            <c:numRef>
              <c:f>'Working capital'!$C$10:$K$10</c:f>
              <c:numCache>
                <c:formatCode>_(* #,##0_);_(* \(#,##0\);_(* "-"??_);_(@_)</c:formatCode>
                <c:ptCount val="9"/>
                <c:pt idx="0">
                  <c:v>189.63687150837987</c:v>
                </c:pt>
                <c:pt idx="1">
                  <c:v>171.42222460122042</c:v>
                </c:pt>
                <c:pt idx="2">
                  <c:v>145.40839555636495</c:v>
                </c:pt>
                <c:pt idx="3">
                  <c:v>0</c:v>
                </c:pt>
                <c:pt idx="4">
                  <c:v>150</c:v>
                </c:pt>
                <c:pt idx="5">
                  <c:v>150</c:v>
                </c:pt>
                <c:pt idx="6">
                  <c:v>150</c:v>
                </c:pt>
                <c:pt idx="7">
                  <c:v>150</c:v>
                </c:pt>
                <c:pt idx="8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49-CB4F-A9C2-4F7A53CD28AF}"/>
            </c:ext>
          </c:extLst>
        </c:ser>
        <c:ser>
          <c:idx val="2"/>
          <c:order val="2"/>
          <c:tx>
            <c:strRef>
              <c:f>'Working capital'!$B$11</c:f>
              <c:strCache>
                <c:ptCount val="1"/>
                <c:pt idx="0">
                  <c:v>DPO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'Working capital'!$C$3:$K$3</c:f>
              <c:strCache>
                <c:ptCount val="9"/>
                <c:pt idx="0">
                  <c:v>FY 2022
Actual </c:v>
                </c:pt>
                <c:pt idx="1">
                  <c:v>FY 2023
Actual </c:v>
                </c:pt>
                <c:pt idx="2">
                  <c:v>FY 2024
Actual </c:v>
                </c:pt>
                <c:pt idx="4">
                  <c:v>FY 2025
Forecast </c:v>
                </c:pt>
                <c:pt idx="5">
                  <c:v>FY 2026
Forecast </c:v>
                </c:pt>
                <c:pt idx="6">
                  <c:v>FY 2027
Forecast </c:v>
                </c:pt>
                <c:pt idx="7">
                  <c:v>FY 2028
Forecast </c:v>
                </c:pt>
                <c:pt idx="8">
                  <c:v>FY 2029
Forecast </c:v>
                </c:pt>
              </c:strCache>
            </c:strRef>
          </c:cat>
          <c:val>
            <c:numRef>
              <c:f>'Working capital'!$C$11:$K$11</c:f>
              <c:numCache>
                <c:formatCode>_(* #,##0_);_(* \(#,##0\);_(* "-"??_);_(@_)</c:formatCode>
                <c:ptCount val="9"/>
                <c:pt idx="0">
                  <c:v>145.18818142171827</c:v>
                </c:pt>
                <c:pt idx="1">
                  <c:v>149.7802197802198</c:v>
                </c:pt>
                <c:pt idx="2">
                  <c:v>131.3564466335981</c:v>
                </c:pt>
                <c:pt idx="3">
                  <c:v>0</c:v>
                </c:pt>
                <c:pt idx="4">
                  <c:v>145</c:v>
                </c:pt>
                <c:pt idx="5">
                  <c:v>145</c:v>
                </c:pt>
                <c:pt idx="6">
                  <c:v>145</c:v>
                </c:pt>
                <c:pt idx="7">
                  <c:v>145</c:v>
                </c:pt>
                <c:pt idx="8">
                  <c:v>145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449-CB4F-A9C2-4F7A53CD2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105126912"/>
        <c:axId val="105140992"/>
      </c:barChart>
      <c:catAx>
        <c:axId val="105126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05140992"/>
        <c:crosses val="autoZero"/>
        <c:auto val="1"/>
        <c:lblAlgn val="ctr"/>
        <c:lblOffset val="100"/>
        <c:noMultiLvlLbl val="0"/>
      </c:catAx>
      <c:valAx>
        <c:axId val="105140992"/>
        <c:scaling>
          <c:orientation val="minMax"/>
          <c:max val="200"/>
          <c:min val="100"/>
        </c:scaling>
        <c:delete val="0"/>
        <c:axPos val="l"/>
        <c:majorGridlines>
          <c:spPr>
            <a:ln>
              <a:solidFill>
                <a:schemeClr val="bg1">
                  <a:lumMod val="65000"/>
                  <a:alpha val="34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days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05126912"/>
        <c:crosses val="autoZero"/>
        <c:crossBetween val="between"/>
        <c:majorUnit val="30"/>
      </c:valAx>
      <c:valAx>
        <c:axId val="105142912"/>
        <c:scaling>
          <c:orientation val="minMax"/>
          <c:max val="2100"/>
          <c:min val="10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/>
                  <a:t>USD in millions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105145088"/>
        <c:crosses val="max"/>
        <c:crossBetween val="between"/>
        <c:majorUnit val="500"/>
      </c:valAx>
      <c:catAx>
        <c:axId val="105145088"/>
        <c:scaling>
          <c:orientation val="minMax"/>
        </c:scaling>
        <c:delete val="1"/>
        <c:axPos val="b"/>
        <c:majorTickMark val="out"/>
        <c:minorTickMark val="none"/>
        <c:tickLblPos val="nextTo"/>
        <c:crossAx val="105142912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8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27983</xdr:colOff>
      <xdr:row>21</xdr:row>
      <xdr:rowOff>644</xdr:rowOff>
    </xdr:from>
    <xdr:to>
      <xdr:col>8</xdr:col>
      <xdr:colOff>32287</xdr:colOff>
      <xdr:row>42</xdr:row>
      <xdr:rowOff>107626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D3B986-82EF-20EB-B223-50FB69252B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10763</xdr:colOff>
      <xdr:row>42</xdr:row>
      <xdr:rowOff>140561</xdr:rowOff>
    </xdr:from>
    <xdr:to>
      <xdr:col>8</xdr:col>
      <xdr:colOff>53814</xdr:colOff>
      <xdr:row>61</xdr:row>
      <xdr:rowOff>20880</xdr:rowOff>
    </xdr:to>
    <xdr:graphicFrame macro="">
      <xdr:nvGraphicFramePr>
        <xdr:cNvPr id="4" name="Chart 2">
          <a:extLst>
            <a:ext uri="{FF2B5EF4-FFF2-40B4-BE49-F238E27FC236}">
              <a16:creationId xmlns:a16="http://schemas.microsoft.com/office/drawing/2014/main" id="{3EE7C319-58E4-F78A-BAC3-B0D7952A2C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81796</xdr:colOff>
      <xdr:row>61</xdr:row>
      <xdr:rowOff>97509</xdr:rowOff>
    </xdr:from>
    <xdr:to>
      <xdr:col>8</xdr:col>
      <xdr:colOff>50800</xdr:colOff>
      <xdr:row>79</xdr:row>
      <xdr:rowOff>128505</xdr:rowOff>
    </xdr:to>
    <xdr:graphicFrame macro="">
      <xdr:nvGraphicFramePr>
        <xdr:cNvPr id="5" name="Chart 3">
          <a:extLst>
            <a:ext uri="{FF2B5EF4-FFF2-40B4-BE49-F238E27FC236}">
              <a16:creationId xmlns:a16="http://schemas.microsoft.com/office/drawing/2014/main" id="{15B83022-A641-1DA9-14DB-14F09FC0A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91440</xdr:colOff>
      <xdr:row>80</xdr:row>
      <xdr:rowOff>40640</xdr:rowOff>
    </xdr:from>
    <xdr:to>
      <xdr:col>7</xdr:col>
      <xdr:colOff>680720</xdr:colOff>
      <xdr:row>103</xdr:row>
      <xdr:rowOff>119530</xdr:rowOff>
    </xdr:to>
    <xdr:graphicFrame macro="">
      <xdr:nvGraphicFramePr>
        <xdr:cNvPr id="6" name="Chart 4">
          <a:extLst>
            <a:ext uri="{FF2B5EF4-FFF2-40B4-BE49-F238E27FC236}">
              <a16:creationId xmlns:a16="http://schemas.microsoft.com/office/drawing/2014/main" id="{74F35A5B-4EB1-E140-604E-667076470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47415</xdr:colOff>
      <xdr:row>62</xdr:row>
      <xdr:rowOff>0</xdr:rowOff>
    </xdr:from>
    <xdr:to>
      <xdr:col>19</xdr:col>
      <xdr:colOff>575735</xdr:colOff>
      <xdr:row>80</xdr:row>
      <xdr:rowOff>14941</xdr:rowOff>
    </xdr:to>
    <xdr:graphicFrame macro="">
      <xdr:nvGraphicFramePr>
        <xdr:cNvPr id="7" name="Chart 5">
          <a:extLst>
            <a:ext uri="{FF2B5EF4-FFF2-40B4-BE49-F238E27FC236}">
              <a16:creationId xmlns:a16="http://schemas.microsoft.com/office/drawing/2014/main" id="{ED3551B3-1666-7732-85C1-2036EF794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233680</xdr:colOff>
      <xdr:row>21</xdr:row>
      <xdr:rowOff>15240</xdr:rowOff>
    </xdr:from>
    <xdr:to>
      <xdr:col>19</xdr:col>
      <xdr:colOff>538480</xdr:colOff>
      <xdr:row>42</xdr:row>
      <xdr:rowOff>71120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151DB08-94C8-E887-8C68-6CAB521ABF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254000</xdr:colOff>
      <xdr:row>43</xdr:row>
      <xdr:rowOff>81280</xdr:rowOff>
    </xdr:from>
    <xdr:to>
      <xdr:col>19</xdr:col>
      <xdr:colOff>579120</xdr:colOff>
      <xdr:row>61</xdr:row>
      <xdr:rowOff>74706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4BD74B-12BA-A50B-8E8A-B27EFBBE5D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47812</xdr:colOff>
      <xdr:row>80</xdr:row>
      <xdr:rowOff>95923</xdr:rowOff>
    </xdr:from>
    <xdr:to>
      <xdr:col>19</xdr:col>
      <xdr:colOff>522941</xdr:colOff>
      <xdr:row>103</xdr:row>
      <xdr:rowOff>119531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24FC709-A7F0-FD0B-B661-9B3E1E364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17584</xdr:colOff>
      <xdr:row>18</xdr:row>
      <xdr:rowOff>111370</xdr:rowOff>
    </xdr:from>
    <xdr:to>
      <xdr:col>10</xdr:col>
      <xdr:colOff>603738</xdr:colOff>
      <xdr:row>19</xdr:row>
      <xdr:rowOff>128954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F076ED-7653-8349-965E-1D81D1640E3E}"/>
            </a:ext>
          </a:extLst>
        </xdr:cNvPr>
        <xdr:cNvSpPr txBox="1"/>
      </xdr:nvSpPr>
      <xdr:spPr>
        <a:xfrm>
          <a:off x="5148384" y="2981570"/>
          <a:ext cx="2681654" cy="169984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WACC</a:t>
          </a:r>
        </a:p>
      </xdr:txBody>
    </xdr:sp>
    <xdr:clientData/>
  </xdr:twoCellAnchor>
  <xdr:twoCellAnchor>
    <xdr:from>
      <xdr:col>6</xdr:col>
      <xdr:colOff>193430</xdr:colOff>
      <xdr:row>21</xdr:row>
      <xdr:rowOff>5862</xdr:rowOff>
    </xdr:from>
    <xdr:to>
      <xdr:col>6</xdr:col>
      <xdr:colOff>445477</xdr:colOff>
      <xdr:row>24</xdr:row>
      <xdr:rowOff>134815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A11ACC-2566-894E-A47B-4DE526E2BE77}"/>
            </a:ext>
          </a:extLst>
        </xdr:cNvPr>
        <xdr:cNvSpPr txBox="1"/>
      </xdr:nvSpPr>
      <xdr:spPr>
        <a:xfrm>
          <a:off x="4562230" y="3333262"/>
          <a:ext cx="252047" cy="586153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g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8</xdr:row>
      <xdr:rowOff>95250</xdr:rowOff>
    </xdr:from>
    <xdr:to>
      <xdr:col>5</xdr:col>
      <xdr:colOff>104776</xdr:colOff>
      <xdr:row>23</xdr:row>
      <xdr:rowOff>90486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64EE2A-8B5C-9944-993D-477692410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104776</xdr:colOff>
      <xdr:row>8</xdr:row>
      <xdr:rowOff>95250</xdr:rowOff>
    </xdr:from>
    <xdr:to>
      <xdr:col>10</xdr:col>
      <xdr:colOff>419101</xdr:colOff>
      <xdr:row>23</xdr:row>
      <xdr:rowOff>90486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5F84DC-04D7-944F-9EA9-1ED4F55BAB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104776</xdr:colOff>
      <xdr:row>8</xdr:row>
      <xdr:rowOff>95250</xdr:rowOff>
    </xdr:from>
    <xdr:to>
      <xdr:col>16</xdr:col>
      <xdr:colOff>419101</xdr:colOff>
      <xdr:row>23</xdr:row>
      <xdr:rowOff>90486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8A252E-934C-6949-897D-6D13504AD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0.18942</cdr:x>
      <cdr:y>0.4058</cdr:y>
    </cdr:from>
    <cdr:to>
      <cdr:x>0.48468</cdr:x>
      <cdr:y>0.55901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1" y="933451"/>
          <a:ext cx="10096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0.23491</cdr:x>
      <cdr:y>0.47321</cdr:y>
    </cdr:from>
    <cdr:to>
      <cdr:x>0.48747</cdr:x>
      <cdr:y>0.58177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803275" y="1079500"/>
          <a:ext cx="863601" cy="24764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>
              <a:lumMod val="65000"/>
            </a:schemeClr>
          </a:solidFill>
        </a:ln>
        <a:effectLst xmlns:a="http://schemas.openxmlformats.org/drawingml/2006/main">
          <a:outerShdw blurRad="50800" dist="50800" dir="5400000" algn="ctr" rotWithShape="0">
            <a:srgbClr val="000000">
              <a:alpha val="24000"/>
            </a:srgbClr>
          </a:outerShdw>
        </a:effectLst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1">
              <a:latin typeface="Arial" pitchFamily="34" charset="0"/>
              <a:cs typeface="Arial" pitchFamily="34" charset="0"/>
            </a:rPr>
            <a:t>$98.836,4m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0.18942</cdr:x>
      <cdr:y>0.4058</cdr:y>
    </cdr:from>
    <cdr:to>
      <cdr:x>0.48468</cdr:x>
      <cdr:y>0.55901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1" y="933451"/>
          <a:ext cx="10096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0.23491</cdr:x>
      <cdr:y>0.47321</cdr:y>
    </cdr:from>
    <cdr:to>
      <cdr:x>0.48747</cdr:x>
      <cdr:y>0.58177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803275" y="1079500"/>
          <a:ext cx="863601" cy="24764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>
              <a:lumMod val="65000"/>
            </a:schemeClr>
          </a:solidFill>
        </a:ln>
        <a:effectLst xmlns:a="http://schemas.openxmlformats.org/drawingml/2006/main">
          <a:outerShdw blurRad="50800" dist="50800" dir="5400000" algn="ctr" rotWithShape="0">
            <a:srgbClr val="000000">
              <a:alpha val="24000"/>
            </a:srgbClr>
          </a:outerShdw>
        </a:effectLst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1">
              <a:latin typeface="Arial" pitchFamily="34" charset="0"/>
              <a:cs typeface="Arial" pitchFamily="34" charset="0"/>
            </a:rPr>
            <a:t>$88.856,4m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0.18942</cdr:x>
      <cdr:y>0.4058</cdr:y>
    </cdr:from>
    <cdr:to>
      <cdr:x>0.48468</cdr:x>
      <cdr:y>0.55901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7701" y="933451"/>
          <a:ext cx="1009650" cy="3524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0.23491</cdr:x>
      <cdr:y>0.47321</cdr:y>
    </cdr:from>
    <cdr:to>
      <cdr:x>0.48747</cdr:x>
      <cdr:y>0.58177</cdr:y>
    </cdr:to>
    <cdr:sp macro="" textlink="">
      <cdr:nvSpPr>
        <cdr:cNvPr id="3" name="TextBox 4"/>
        <cdr:cNvSpPr txBox="1"/>
      </cdr:nvSpPr>
      <cdr:spPr>
        <a:xfrm xmlns:a="http://schemas.openxmlformats.org/drawingml/2006/main">
          <a:off x="803275" y="1079500"/>
          <a:ext cx="863601" cy="247649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>
              <a:lumMod val="65000"/>
            </a:schemeClr>
          </a:solidFill>
        </a:ln>
        <a:effectLst xmlns:a="http://schemas.openxmlformats.org/drawingml/2006/main">
          <a:outerShdw blurRad="50800" dist="50800" dir="5400000" algn="ctr" rotWithShape="0">
            <a:srgbClr val="000000">
              <a:alpha val="24000"/>
            </a:srgbClr>
          </a:outerShdw>
        </a:effectLst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1">
              <a:latin typeface="Arial" pitchFamily="34" charset="0"/>
              <a:cs typeface="Arial" pitchFamily="34" charset="0"/>
            </a:rPr>
            <a:t>$82.554m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7</xdr:row>
      <xdr:rowOff>47624</xdr:rowOff>
    </xdr:from>
    <xdr:to>
      <xdr:col>13</xdr:col>
      <xdr:colOff>133350</xdr:colOff>
      <xdr:row>28</xdr:row>
      <xdr:rowOff>132079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0E60B8-9759-BB45-86A8-262BAA2C5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0.49319</cdr:x>
      <cdr:y>0.11574</cdr:y>
    </cdr:from>
    <cdr:to>
      <cdr:x>0.92949</cdr:x>
      <cdr:y>0.18519</cdr:y>
    </cdr:to>
    <cdr:sp macro="" textlink="">
      <cdr:nvSpPr>
        <cdr:cNvPr id="4" name="TextBox 2"/>
        <cdr:cNvSpPr txBox="1"/>
      </cdr:nvSpPr>
      <cdr:spPr>
        <a:xfrm xmlns:a="http://schemas.openxmlformats.org/drawingml/2006/main">
          <a:off x="3908425" y="317500"/>
          <a:ext cx="3457575" cy="19050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Forecast period</a:t>
          </a:r>
        </a:p>
      </cdr:txBody>
    </cdr:sp>
  </cdr:relSizeAnchor>
  <cdr:relSizeAnchor xmlns:cdr="http://schemas.openxmlformats.org/drawingml/2006/chartDrawing">
    <cdr:from>
      <cdr:x>0.1242</cdr:x>
      <cdr:y>0.11574</cdr:y>
    </cdr:from>
    <cdr:to>
      <cdr:x>0.38141</cdr:x>
      <cdr:y>0.18866</cdr:y>
    </cdr:to>
    <cdr:sp macro="" textlink="">
      <cdr:nvSpPr>
        <cdr:cNvPr id="5" name="TextBox 3"/>
        <cdr:cNvSpPr txBox="1"/>
      </cdr:nvSpPr>
      <cdr:spPr>
        <a:xfrm xmlns:a="http://schemas.openxmlformats.org/drawingml/2006/main">
          <a:off x="984250" y="317500"/>
          <a:ext cx="2038350" cy="200024"/>
        </a:xfrm>
        <a:prstGeom xmlns:a="http://schemas.openxmlformats.org/drawingml/2006/main" prst="rect">
          <a:avLst/>
        </a:prstGeom>
        <a:solidFill xmlns:a="http://schemas.openxmlformats.org/drawingml/2006/main">
          <a:srgbClr val="002060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Historical figures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114300</xdr:rowOff>
    </xdr:from>
    <xdr:to>
      <xdr:col>11</xdr:col>
      <xdr:colOff>533400</xdr:colOff>
      <xdr:row>25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09C8D-AAAB-3340-84D2-23CBA6A47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9</xdr:row>
      <xdr:rowOff>0</xdr:rowOff>
    </xdr:from>
    <xdr:to>
      <xdr:col>15</xdr:col>
      <xdr:colOff>1</xdr:colOff>
      <xdr:row>37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CE6C1-0D04-8145-BEE7-B45FA010A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53974</xdr:colOff>
      <xdr:row>11</xdr:row>
      <xdr:rowOff>104774</xdr:rowOff>
    </xdr:from>
    <xdr:to>
      <xdr:col>15</xdr:col>
      <xdr:colOff>406399</xdr:colOff>
      <xdr:row>38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51FF4-FC74-5B47-B4A5-F8DA265910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0.46014</cdr:x>
      <cdr:y>0.11969</cdr:y>
    </cdr:from>
    <cdr:to>
      <cdr:x>0.88972</cdr:x>
      <cdr:y>0.19552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3317805" y="301542"/>
          <a:ext cx="3097454" cy="19104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1">
            <a:lumMod val="75000"/>
          </a:schemeClr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Forecast period</a:t>
          </a:r>
        </a:p>
      </cdr:txBody>
    </cdr:sp>
  </cdr:relSizeAnchor>
  <cdr:relSizeAnchor xmlns:cdr="http://schemas.openxmlformats.org/drawingml/2006/chartDrawing">
    <cdr:from>
      <cdr:x>0.08839</cdr:x>
      <cdr:y>0.11969</cdr:y>
    </cdr:from>
    <cdr:to>
      <cdr:x>0.35357</cdr:x>
      <cdr:y>0.19509</cdr:y>
    </cdr:to>
    <cdr:sp macro="" textlink="">
      <cdr:nvSpPr>
        <cdr:cNvPr id="3" name="TextBox 3"/>
        <cdr:cNvSpPr txBox="1"/>
      </cdr:nvSpPr>
      <cdr:spPr>
        <a:xfrm xmlns:a="http://schemas.openxmlformats.org/drawingml/2006/main">
          <a:off x="679450" y="317499"/>
          <a:ext cx="2038350" cy="200024"/>
        </a:xfrm>
        <a:prstGeom xmlns:a="http://schemas.openxmlformats.org/drawingml/2006/main" prst="rect">
          <a:avLst/>
        </a:prstGeom>
        <a:solidFill xmlns:a="http://schemas.openxmlformats.org/drawingml/2006/main">
          <a:srgbClr val="002060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Historical figures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/Users/admin/Desktop/Courses%20and%20Projects%20(FInance%20&amp;%20Data%20Science%20)/Job%20Hunting%20&amp;%20Portfolio%20Projects/Ashgabat/Templates%20and%20Complete%20Model%20Examples%20also%20Useful%20Information%20on%20FInancial%20Models/Valuation%20and%20DCF%20Model/Comparable%20Company%20Analysis/107-21-Comparable-Company-Analysis.xlsx" TargetMode="External"/><Relationship Id="rId2" Type="http://schemas.microsoft.com/office/2019/04/relationships/externalLinkLongPath" Target="/Users/admin/Desktop/Courses%20and%20Projects%20(FInance%20&amp;%20Data%20Science%20)/Job%20Hunting%20&amp;%20Portfolio%20Projects/Ashgabat/Templates%20and%20Complete%20Model%20Examples%20also%20Useful%20Information%20on%20FInancial%20Models/Valuation%20and%20DCF%20Model/Comparable%20Company%20Analysis/107-21-Comparable-Company-Analysis.xlsx?D13EE569" TargetMode="External"/><Relationship Id="rId1" Type="http://schemas.openxmlformats.org/officeDocument/2006/relationships/externalLinkPath" Target="file:///D13EE569/107-21-Comparable-Company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Public-Comps"/>
      <sheetName val="ValSum"/>
    </sheetNames>
    <sheetDataSet>
      <sheetData sheetId="0">
        <row r="22">
          <cell r="D22"/>
        </row>
      </sheetData>
      <sheetData sheetId="1">
        <row r="23">
          <cell r="E23">
            <v>1072.221</v>
          </cell>
        </row>
        <row r="35">
          <cell r="E35">
            <v>242.017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0A34-98A0-B148-BEF5-4287C7B211B1}">
  <sheetPr>
    <tabColor rgb="FF002060"/>
  </sheetPr>
  <dimension ref="B1:C27"/>
  <sheetViews>
    <sheetView zoomScale="130" zoomScaleNormal="130" workbookViewId="0">
      <pane xSplit="3" ySplit="4" topLeftCell="D5" activePane="bottomRight" state="frozen"/>
      <selection activeCell="C23" sqref="C23"/>
      <selection pane="topRight" activeCell="C23" sqref="C23"/>
      <selection pane="bottomLeft" activeCell="C23" sqref="C23"/>
      <selection pane="bottomRight" activeCell="B1" sqref="B1"/>
    </sheetView>
  </sheetViews>
  <sheetFormatPr baseColWidth="10" defaultColWidth="9.1640625" defaultRowHeight="12" x14ac:dyDescent="0.15"/>
  <cols>
    <col min="1" max="1" width="2" style="2" customWidth="1"/>
    <col min="2" max="2" width="10" style="2" customWidth="1"/>
    <col min="3" max="3" width="26" style="2" customWidth="1"/>
    <col min="4" max="16384" width="9.1640625" style="2"/>
  </cols>
  <sheetData>
    <row r="1" spans="2:3" ht="16" x14ac:dyDescent="0.2">
      <c r="B1" s="1" t="s">
        <v>451</v>
      </c>
    </row>
    <row r="2" spans="2:3" x14ac:dyDescent="0.15">
      <c r="B2" s="3" t="s">
        <v>1</v>
      </c>
    </row>
    <row r="4" spans="2:3" ht="14" thickBot="1" x14ac:dyDescent="0.2">
      <c r="B4" s="4" t="s">
        <v>2</v>
      </c>
      <c r="C4" s="4" t="s">
        <v>3</v>
      </c>
    </row>
    <row r="5" spans="2:3" x14ac:dyDescent="0.15">
      <c r="B5" s="5">
        <v>1</v>
      </c>
      <c r="C5" s="6" t="s">
        <v>74</v>
      </c>
    </row>
    <row r="6" spans="2:3" x14ac:dyDescent="0.15">
      <c r="B6" s="142">
        <f>B5+1</f>
        <v>2</v>
      </c>
      <c r="C6" s="143" t="s">
        <v>13</v>
      </c>
    </row>
    <row r="7" spans="2:3" x14ac:dyDescent="0.15">
      <c r="B7" s="142">
        <f t="shared" ref="B7:B19" si="0">B6+1</f>
        <v>3</v>
      </c>
      <c r="C7" s="143" t="s">
        <v>14</v>
      </c>
    </row>
    <row r="8" spans="2:3" x14ac:dyDescent="0.15">
      <c r="B8" s="142">
        <v>4</v>
      </c>
      <c r="C8" s="143" t="s">
        <v>73</v>
      </c>
    </row>
    <row r="9" spans="2:3" x14ac:dyDescent="0.15">
      <c r="B9" s="5">
        <f>B8+1</f>
        <v>5</v>
      </c>
      <c r="C9" s="6" t="s">
        <v>314</v>
      </c>
    </row>
    <row r="10" spans="2:3" x14ac:dyDescent="0.15">
      <c r="B10" s="142">
        <f>B9+1</f>
        <v>6</v>
      </c>
      <c r="C10" s="143" t="s">
        <v>450</v>
      </c>
    </row>
    <row r="11" spans="2:3" x14ac:dyDescent="0.15">
      <c r="B11" s="5">
        <f>B10+1</f>
        <v>7</v>
      </c>
      <c r="C11" s="6" t="s">
        <v>315</v>
      </c>
    </row>
    <row r="12" spans="2:3" x14ac:dyDescent="0.15">
      <c r="B12" s="142">
        <f>B11+1</f>
        <v>8</v>
      </c>
      <c r="C12" s="143" t="s">
        <v>311</v>
      </c>
    </row>
    <row r="13" spans="2:3" x14ac:dyDescent="0.15">
      <c r="B13" s="142">
        <f t="shared" si="0"/>
        <v>9</v>
      </c>
      <c r="C13" s="143" t="s">
        <v>312</v>
      </c>
    </row>
    <row r="14" spans="2:3" x14ac:dyDescent="0.15">
      <c r="B14" s="142">
        <f t="shared" si="0"/>
        <v>10</v>
      </c>
      <c r="C14" s="143" t="s">
        <v>7</v>
      </c>
    </row>
    <row r="15" spans="2:3" x14ac:dyDescent="0.15">
      <c r="B15" s="5">
        <f t="shared" si="0"/>
        <v>11</v>
      </c>
      <c r="C15" s="6" t="s">
        <v>316</v>
      </c>
    </row>
    <row r="16" spans="2:3" x14ac:dyDescent="0.15">
      <c r="B16" s="142">
        <f>B15+1</f>
        <v>12</v>
      </c>
      <c r="C16" s="143" t="s">
        <v>44</v>
      </c>
    </row>
    <row r="17" spans="2:3" x14ac:dyDescent="0.15">
      <c r="B17" s="142">
        <f>B16+1</f>
        <v>13</v>
      </c>
      <c r="C17" s="143" t="s">
        <v>8</v>
      </c>
    </row>
    <row r="18" spans="2:3" x14ac:dyDescent="0.15">
      <c r="B18" s="142">
        <f>B17+1</f>
        <v>14</v>
      </c>
      <c r="C18" s="143" t="s">
        <v>12</v>
      </c>
    </row>
    <row r="19" spans="2:3" x14ac:dyDescent="0.15">
      <c r="B19" s="5">
        <f t="shared" si="0"/>
        <v>15</v>
      </c>
      <c r="C19" s="6" t="s">
        <v>322</v>
      </c>
    </row>
    <row r="20" spans="2:3" x14ac:dyDescent="0.15">
      <c r="B20" s="142">
        <f t="shared" ref="B20:B25" si="1">B19+1</f>
        <v>16</v>
      </c>
      <c r="C20" s="143" t="s">
        <v>323</v>
      </c>
    </row>
    <row r="21" spans="2:3" x14ac:dyDescent="0.15">
      <c r="B21" s="5">
        <f t="shared" si="1"/>
        <v>17</v>
      </c>
      <c r="C21" s="6" t="s">
        <v>318</v>
      </c>
    </row>
    <row r="22" spans="2:3" x14ac:dyDescent="0.15">
      <c r="B22" s="142">
        <f t="shared" si="1"/>
        <v>18</v>
      </c>
      <c r="C22" s="143" t="s">
        <v>313</v>
      </c>
    </row>
    <row r="23" spans="2:3" x14ac:dyDescent="0.15">
      <c r="B23" s="142">
        <f t="shared" si="1"/>
        <v>19</v>
      </c>
      <c r="C23" s="143" t="s">
        <v>9</v>
      </c>
    </row>
    <row r="24" spans="2:3" x14ac:dyDescent="0.15">
      <c r="B24" s="142">
        <f t="shared" si="1"/>
        <v>20</v>
      </c>
      <c r="C24" s="143" t="s">
        <v>10</v>
      </c>
    </row>
    <row r="25" spans="2:3" x14ac:dyDescent="0.15">
      <c r="B25" s="142">
        <f t="shared" si="1"/>
        <v>21</v>
      </c>
      <c r="C25" s="143" t="s">
        <v>11</v>
      </c>
    </row>
    <row r="27" spans="2:3" x14ac:dyDescent="0.15">
      <c r="B27" s="7"/>
      <c r="C27" s="8"/>
    </row>
  </sheetData>
  <hyperlinks>
    <hyperlink ref="C6" location="'P&amp;L source'!A1" display="P&amp;L source" xr:uid="{3967C0C6-8883-4D41-B2DC-0CE103DE9D55}"/>
    <hyperlink ref="C7" location="'BS source'!A1" display="BS source" xr:uid="{8F21442E-2F84-BC45-9DF5-3B66B80D687D}"/>
    <hyperlink ref="C12" location="Assumptions!A1" display="Assumptions" xr:uid="{8BA1AD14-09D3-C04C-8B08-EDCE9C943AFD}"/>
    <hyperlink ref="C13" location="'P&amp;L and BS'!A1" display="P&amp;L and BS" xr:uid="{531CA3B1-602B-4F41-9ECA-720370712F5A}"/>
    <hyperlink ref="C14" location="'Cash Flow'!A1" display="Cash Flow" xr:uid="{6BD89DE7-F5A2-5E41-8045-CB2A19DE8DF2}"/>
    <hyperlink ref="C17" location="'DCF valuation'!A1" display="DCF valuation" xr:uid="{0C43BE00-D873-694E-83C7-CE1770A5B3C3}"/>
    <hyperlink ref="C18" location="'DCF results'!A1" display="DCF results" xr:uid="{290BB365-290F-454B-8D81-F0083E9C8F56}"/>
    <hyperlink ref="C22" location="'Revenues&amp;Ebitda'!A1" display="Revenues&amp;Ebitda" xr:uid="{7687A9A2-54CB-F445-8ACA-374BA5B472E9}"/>
    <hyperlink ref="C23" location="'Cash flows'!A1" display="Cash flows" xr:uid="{943BC0FC-3D61-314A-95A9-FB47EDD4D022}"/>
    <hyperlink ref="C24" location="'Ebitda bridge'!A1" display="Ebitda bridge" xr:uid="{31B98236-FB27-194D-A209-95F118E5003F}"/>
    <hyperlink ref="C25" location="'Working capital'!A1" display="Working capital" xr:uid="{C4A2C796-913B-3C4B-9B7B-500D9C9CC76E}"/>
    <hyperlink ref="C8" location="'CF source'!A1" display="CF source" xr:uid="{DE8C07F1-0F12-0542-BC98-066C9C10618A}"/>
    <hyperlink ref="C20" location="'Comps Model'!A1" display="Comps Model" xr:uid="{278A6965-0E11-A849-8828-B02678956B40}"/>
    <hyperlink ref="C10" location="Ratios!A1" display="Ratios" xr:uid="{AAE488A7-8418-2E48-8546-DE0B3C996E42}"/>
    <hyperlink ref="C16" location="WACC!A1" display="WACC" xr:uid="{35B195E1-3ED6-7348-B4F2-DA0D5C9D0C16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2244-238F-BE40-BE26-B2879457F0CF}">
  <sheetPr>
    <tabColor rgb="FF002060"/>
  </sheetPr>
  <dimension ref="B1:B11"/>
  <sheetViews>
    <sheetView zoomScale="130" zoomScaleNormal="130" workbookViewId="0">
      <selection activeCell="B12" sqref="B12"/>
    </sheetView>
  </sheetViews>
  <sheetFormatPr baseColWidth="10" defaultColWidth="9.1640625" defaultRowHeight="12" x14ac:dyDescent="0.15"/>
  <cols>
    <col min="1" max="1" width="2" style="2" customWidth="1"/>
    <col min="2" max="16384" width="9.1640625" style="2"/>
  </cols>
  <sheetData>
    <row r="1" spans="2:2" ht="16" x14ac:dyDescent="0.2">
      <c r="B1" s="1"/>
    </row>
    <row r="11" spans="2:2" ht="40" x14ac:dyDescent="0.4">
      <c r="B11" s="9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6B8B-7C95-844B-A740-6403B8FDDB37}">
  <dimension ref="B1:O37"/>
  <sheetViews>
    <sheetView zoomScale="118" zoomScaleNormal="130" workbookViewId="0"/>
  </sheetViews>
  <sheetFormatPr baseColWidth="10" defaultColWidth="9.1640625" defaultRowHeight="12" x14ac:dyDescent="0.15"/>
  <cols>
    <col min="1" max="1" width="2" style="11" customWidth="1"/>
    <col min="2" max="2" width="27.83203125" style="11" bestFit="1" customWidth="1"/>
    <col min="3" max="5" width="9.1640625" style="11"/>
    <col min="6" max="8" width="10.5" style="11" bestFit="1" customWidth="1"/>
    <col min="9" max="16384" width="9.1640625" style="11"/>
  </cols>
  <sheetData>
    <row r="1" spans="2:15" ht="16" x14ac:dyDescent="0.2">
      <c r="B1" s="10" t="s">
        <v>13</v>
      </c>
    </row>
    <row r="3" spans="2:15" ht="26" x14ac:dyDescent="0.15">
      <c r="B3" s="55" t="s">
        <v>78</v>
      </c>
      <c r="C3" s="55"/>
      <c r="D3" s="56" t="s">
        <v>325</v>
      </c>
      <c r="E3" s="56" t="s">
        <v>326</v>
      </c>
      <c r="F3" s="56" t="s">
        <v>75</v>
      </c>
      <c r="G3" s="56" t="s">
        <v>76</v>
      </c>
      <c r="H3" s="56" t="s">
        <v>77</v>
      </c>
    </row>
    <row r="4" spans="2:15" x14ac:dyDescent="0.15">
      <c r="B4" s="11" t="s">
        <v>80</v>
      </c>
      <c r="D4" s="16">
        <v>16533</v>
      </c>
      <c r="E4" s="16">
        <v>15602</v>
      </c>
      <c r="F4" s="16">
        <v>19552</v>
      </c>
      <c r="G4" s="16">
        <v>22439</v>
      </c>
      <c r="H4" s="16">
        <v>23297</v>
      </c>
    </row>
    <row r="5" spans="2:15" x14ac:dyDescent="0.15">
      <c r="B5" s="11" t="s">
        <v>79</v>
      </c>
      <c r="D5" s="16">
        <v>7068</v>
      </c>
      <c r="E5" s="16">
        <v>7327</v>
      </c>
      <c r="F5" s="16">
        <v>8539</v>
      </c>
      <c r="G5" s="16">
        <v>10696</v>
      </c>
      <c r="H5" s="16">
        <v>12992</v>
      </c>
      <c r="L5" s="57"/>
      <c r="M5" s="57"/>
      <c r="N5" s="57"/>
      <c r="O5" s="57"/>
    </row>
    <row r="6" spans="2:15" x14ac:dyDescent="0.15">
      <c r="B6" s="58" t="s">
        <v>81</v>
      </c>
      <c r="C6" s="58"/>
      <c r="D6" s="59">
        <v>23601</v>
      </c>
      <c r="E6" s="59">
        <v>22929</v>
      </c>
      <c r="F6" s="59">
        <v>28091</v>
      </c>
      <c r="G6" s="59">
        <v>33135</v>
      </c>
      <c r="H6" s="59">
        <f t="shared" ref="H6" si="0">SUM(H4:H5)</f>
        <v>36289</v>
      </c>
    </row>
    <row r="7" spans="2:15" x14ac:dyDescent="0.15">
      <c r="D7" s="16"/>
      <c r="E7" s="16"/>
      <c r="F7" s="16"/>
      <c r="G7" s="16"/>
      <c r="H7" s="16"/>
    </row>
    <row r="8" spans="2:15" x14ac:dyDescent="0.15">
      <c r="B8" s="11" t="s">
        <v>82</v>
      </c>
      <c r="D8" s="16">
        <v>14675</v>
      </c>
      <c r="E8" s="16">
        <v>13129</v>
      </c>
      <c r="F8" s="16">
        <v>15233</v>
      </c>
      <c r="G8" s="16">
        <v>17231</v>
      </c>
      <c r="H8" s="16">
        <v>17847</v>
      </c>
      <c r="J8" s="80"/>
    </row>
    <row r="9" spans="2:15" x14ac:dyDescent="0.15">
      <c r="B9" s="11" t="s">
        <v>83</v>
      </c>
      <c r="D9" s="16">
        <v>6325</v>
      </c>
      <c r="E9" s="16">
        <v>6142</v>
      </c>
      <c r="F9" s="16">
        <v>7697</v>
      </c>
      <c r="G9" s="16">
        <v>9341</v>
      </c>
      <c r="H9" s="16">
        <v>10982</v>
      </c>
    </row>
    <row r="10" spans="2:15" x14ac:dyDescent="0.15">
      <c r="B10" s="58" t="s">
        <v>84</v>
      </c>
      <c r="C10" s="58"/>
      <c r="D10" s="59">
        <f t="shared" ref="D10:E10" si="1">D6-SUM(D8:D9)</f>
        <v>2601</v>
      </c>
      <c r="E10" s="59">
        <f t="shared" si="1"/>
        <v>3658</v>
      </c>
      <c r="F10" s="59">
        <f>F6-SUM(F8:F9)</f>
        <v>5161</v>
      </c>
      <c r="G10" s="59">
        <f t="shared" ref="G10:H10" si="2">G6-SUM(G8:G9)</f>
        <v>6563</v>
      </c>
      <c r="H10" s="59">
        <f t="shared" si="2"/>
        <v>7460</v>
      </c>
    </row>
    <row r="12" spans="2:15" x14ac:dyDescent="0.15">
      <c r="B12" s="64" t="s">
        <v>85</v>
      </c>
      <c r="F12" s="16"/>
      <c r="G12" s="16"/>
      <c r="H12" s="16"/>
    </row>
    <row r="13" spans="2:15" x14ac:dyDescent="0.15">
      <c r="B13" s="65" t="s">
        <v>86</v>
      </c>
      <c r="D13" s="16">
        <v>580</v>
      </c>
      <c r="E13" s="16">
        <v>554</v>
      </c>
      <c r="F13" s="16">
        <v>634</v>
      </c>
      <c r="G13" s="16">
        <v>711</v>
      </c>
      <c r="H13" s="16">
        <v>749</v>
      </c>
    </row>
    <row r="14" spans="2:15" x14ac:dyDescent="0.15">
      <c r="B14" s="65" t="s">
        <v>87</v>
      </c>
      <c r="D14" s="16">
        <v>365</v>
      </c>
      <c r="E14" s="16">
        <v>339</v>
      </c>
      <c r="F14" s="16">
        <v>376</v>
      </c>
      <c r="G14" s="16">
        <v>364</v>
      </c>
      <c r="H14" s="16">
        <v>385</v>
      </c>
    </row>
    <row r="15" spans="2:15" x14ac:dyDescent="0.15">
      <c r="B15" s="65" t="s">
        <v>268</v>
      </c>
      <c r="D15" s="16">
        <v>0</v>
      </c>
      <c r="E15" s="16">
        <v>0</v>
      </c>
      <c r="F15" s="16">
        <v>0</v>
      </c>
      <c r="G15" s="16">
        <v>0</v>
      </c>
      <c r="H15" s="16">
        <v>399</v>
      </c>
    </row>
    <row r="16" spans="2:15" x14ac:dyDescent="0.15">
      <c r="B16" s="65" t="s">
        <v>327</v>
      </c>
      <c r="D16" s="16">
        <v>12658</v>
      </c>
      <c r="E16" s="16">
        <v>0</v>
      </c>
      <c r="F16" s="16">
        <v>0</v>
      </c>
      <c r="G16" s="16">
        <v>0</v>
      </c>
      <c r="H16" s="16">
        <v>0</v>
      </c>
    </row>
    <row r="17" spans="2:11" x14ac:dyDescent="0.15">
      <c r="B17" s="65" t="s">
        <v>88</v>
      </c>
      <c r="D17" s="16">
        <v>0</v>
      </c>
      <c r="E17" s="16">
        <v>0</v>
      </c>
      <c r="F17" s="16">
        <v>0</v>
      </c>
      <c r="G17" s="16">
        <v>45</v>
      </c>
      <c r="H17" s="16">
        <v>123</v>
      </c>
    </row>
    <row r="18" spans="2:11" x14ac:dyDescent="0.15">
      <c r="B18" s="58" t="s">
        <v>171</v>
      </c>
      <c r="C18" s="58"/>
      <c r="D18" s="59">
        <f>D10-SUM(D13:D17)</f>
        <v>-11002</v>
      </c>
      <c r="E18" s="59">
        <f t="shared" ref="E18" si="3">E10-SUM(E13:E17)</f>
        <v>2765</v>
      </c>
      <c r="F18" s="59">
        <f>F10-SUM(F13:F17)</f>
        <v>4151</v>
      </c>
      <c r="G18" s="59">
        <f>G10-SUM(G13:G17)</f>
        <v>5443</v>
      </c>
      <c r="H18" s="59">
        <f>H10-SUM(H13:H17)</f>
        <v>5804</v>
      </c>
    </row>
    <row r="19" spans="2:11" x14ac:dyDescent="0.15">
      <c r="F19" s="16"/>
      <c r="G19" s="16"/>
      <c r="H19" s="16"/>
    </row>
    <row r="20" spans="2:11" x14ac:dyDescent="0.15">
      <c r="B20" s="11" t="s">
        <v>90</v>
      </c>
      <c r="D20" s="16">
        <v>267</v>
      </c>
      <c r="E20" s="16">
        <v>148</v>
      </c>
      <c r="F20" s="16">
        <v>610</v>
      </c>
      <c r="G20" s="16">
        <v>342</v>
      </c>
      <c r="H20" s="16">
        <v>380</v>
      </c>
    </row>
    <row r="21" spans="2:11" x14ac:dyDescent="0.15">
      <c r="B21" s="11" t="s">
        <v>89</v>
      </c>
      <c r="D21" s="16">
        <v>563</v>
      </c>
      <c r="E21" s="16">
        <v>539</v>
      </c>
      <c r="F21" s="16">
        <v>490</v>
      </c>
      <c r="G21" s="16">
        <v>503</v>
      </c>
      <c r="H21" s="16">
        <v>512</v>
      </c>
    </row>
    <row r="22" spans="2:11" x14ac:dyDescent="0.15">
      <c r="B22" s="58" t="s">
        <v>35</v>
      </c>
      <c r="C22" s="58"/>
      <c r="D22" s="59">
        <f t="shared" ref="D22:E22" si="4">D18+D20-D21</f>
        <v>-11298</v>
      </c>
      <c r="E22" s="59">
        <f t="shared" si="4"/>
        <v>2374</v>
      </c>
      <c r="F22" s="59">
        <f>F18+F20-F21</f>
        <v>4271</v>
      </c>
      <c r="G22" s="59">
        <f t="shared" ref="G22" si="5">G18+G20-G21</f>
        <v>5282</v>
      </c>
      <c r="H22" s="59">
        <f>H18+H20-H21</f>
        <v>5672</v>
      </c>
    </row>
    <row r="23" spans="2:11" x14ac:dyDescent="0.15">
      <c r="F23" s="16"/>
      <c r="G23" s="16"/>
      <c r="H23" s="16"/>
    </row>
    <row r="24" spans="2:11" x14ac:dyDescent="0.15">
      <c r="B24" s="11" t="s">
        <v>91</v>
      </c>
      <c r="D24" s="16">
        <v>-812</v>
      </c>
      <c r="E24" s="16">
        <v>446</v>
      </c>
      <c r="F24" s="16">
        <v>779</v>
      </c>
      <c r="G24" s="16">
        <v>1007</v>
      </c>
      <c r="H24" s="16">
        <v>1093</v>
      </c>
    </row>
    <row r="25" spans="2:11" ht="13" thickBot="1" x14ac:dyDescent="0.2">
      <c r="B25" s="60" t="s">
        <v>68</v>
      </c>
      <c r="C25" s="60"/>
      <c r="D25" s="61">
        <f t="shared" ref="D25:E25" si="6">D22-D24</f>
        <v>-10486</v>
      </c>
      <c r="E25" s="61">
        <f t="shared" si="6"/>
        <v>1928</v>
      </c>
      <c r="F25" s="61">
        <f>F22-F24</f>
        <v>3492</v>
      </c>
      <c r="G25" s="61">
        <f t="shared" ref="G25" si="7">G22-G24</f>
        <v>4275</v>
      </c>
      <c r="H25" s="61">
        <f>H22-H24</f>
        <v>4579</v>
      </c>
      <c r="K25" s="80"/>
    </row>
    <row r="27" spans="2:11" x14ac:dyDescent="0.15">
      <c r="B27" s="11" t="s">
        <v>92</v>
      </c>
      <c r="D27" s="16">
        <v>32</v>
      </c>
      <c r="E27" s="16">
        <v>47</v>
      </c>
      <c r="F27" s="16">
        <v>51</v>
      </c>
      <c r="G27" s="16">
        <v>72</v>
      </c>
      <c r="H27" s="16">
        <v>118</v>
      </c>
    </row>
    <row r="28" spans="2:11" ht="13" thickBot="1" x14ac:dyDescent="0.2">
      <c r="B28" s="60" t="s">
        <v>93</v>
      </c>
      <c r="C28" s="60"/>
      <c r="D28" s="61">
        <f t="shared" ref="D28:E28" si="8">D25-D27</f>
        <v>-10518</v>
      </c>
      <c r="E28" s="61">
        <f t="shared" si="8"/>
        <v>1881</v>
      </c>
      <c r="F28" s="61">
        <f>F25-F27</f>
        <v>3441</v>
      </c>
      <c r="G28" s="61">
        <f>G25-G27</f>
        <v>4203</v>
      </c>
      <c r="H28" s="61">
        <f>H25-H27</f>
        <v>4461</v>
      </c>
    </row>
    <row r="30" spans="2:11" x14ac:dyDescent="0.15">
      <c r="B30" s="11" t="s">
        <v>94</v>
      </c>
      <c r="D30" s="146">
        <v>-7.57</v>
      </c>
      <c r="E30" s="146">
        <v>1.34</v>
      </c>
      <c r="F30" s="66">
        <v>2.4300000000000002</v>
      </c>
      <c r="G30" s="66">
        <v>2.95</v>
      </c>
      <c r="H30" s="66">
        <v>3.14</v>
      </c>
    </row>
    <row r="31" spans="2:11" x14ac:dyDescent="0.15">
      <c r="B31" s="11" t="s">
        <v>95</v>
      </c>
      <c r="D31" s="146">
        <v>-7.57</v>
      </c>
      <c r="E31" s="146">
        <v>1.32</v>
      </c>
      <c r="F31" s="66">
        <v>2.39</v>
      </c>
      <c r="G31" s="66">
        <v>2.91</v>
      </c>
      <c r="H31" s="66">
        <v>3.11</v>
      </c>
    </row>
    <row r="33" spans="2:8" x14ac:dyDescent="0.15">
      <c r="B33" s="64" t="s">
        <v>96</v>
      </c>
    </row>
    <row r="34" spans="2:8" x14ac:dyDescent="0.15">
      <c r="B34" s="65" t="s">
        <v>97</v>
      </c>
      <c r="D34" s="16">
        <v>1390</v>
      </c>
      <c r="E34" s="16">
        <v>1400</v>
      </c>
      <c r="F34" s="67">
        <v>1416</v>
      </c>
      <c r="G34" s="67">
        <v>1425</v>
      </c>
      <c r="H34" s="67">
        <v>1421</v>
      </c>
    </row>
    <row r="35" spans="2:8" x14ac:dyDescent="0.15">
      <c r="B35" s="65" t="s">
        <v>98</v>
      </c>
      <c r="D35" s="16">
        <v>1390</v>
      </c>
      <c r="E35" s="16">
        <v>1427</v>
      </c>
      <c r="F35" s="67">
        <v>1437</v>
      </c>
      <c r="G35" s="67">
        <v>1443</v>
      </c>
      <c r="H35" s="67">
        <v>1436</v>
      </c>
    </row>
    <row r="37" spans="2:8" x14ac:dyDescent="0.15">
      <c r="B37" s="64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A137-D539-A74E-AEEA-9723308302DE}">
  <dimension ref="B1:P30"/>
  <sheetViews>
    <sheetView zoomScale="115" zoomScaleNormal="130" workbookViewId="0">
      <selection activeCell="N33" sqref="N33"/>
    </sheetView>
  </sheetViews>
  <sheetFormatPr baseColWidth="10" defaultColWidth="9.1640625" defaultRowHeight="12" x14ac:dyDescent="0.15"/>
  <cols>
    <col min="1" max="1" width="2" style="11" customWidth="1"/>
    <col min="2" max="2" width="36.83203125" style="11" customWidth="1"/>
    <col min="3" max="5" width="9.1640625" style="11"/>
    <col min="6" max="6" width="10.83203125" style="11" customWidth="1"/>
    <col min="7" max="7" width="10.6640625" style="11" customWidth="1"/>
    <col min="8" max="8" width="10" style="11" bestFit="1" customWidth="1"/>
    <col min="9" max="9" width="9.1640625" style="11"/>
    <col min="10" max="10" width="24.33203125" style="11" customWidth="1"/>
    <col min="11" max="13" width="9.1640625" style="11"/>
    <col min="14" max="14" width="10" style="11" bestFit="1" customWidth="1"/>
    <col min="15" max="15" width="10.5" style="11" customWidth="1"/>
    <col min="16" max="16" width="11.1640625" style="11" customWidth="1"/>
    <col min="17" max="16384" width="9.1640625" style="11"/>
  </cols>
  <sheetData>
    <row r="1" spans="2:16" ht="16" x14ac:dyDescent="0.2">
      <c r="B1" s="10" t="s">
        <v>14</v>
      </c>
    </row>
    <row r="3" spans="2:16" ht="26" x14ac:dyDescent="0.15">
      <c r="B3" s="55" t="s">
        <v>78</v>
      </c>
      <c r="C3" s="55"/>
      <c r="D3" s="56" t="s">
        <v>325</v>
      </c>
      <c r="E3" s="56" t="s">
        <v>326</v>
      </c>
      <c r="F3" s="56" t="s">
        <v>75</v>
      </c>
      <c r="G3" s="56" t="s">
        <v>76</v>
      </c>
      <c r="H3" s="56" t="s">
        <v>77</v>
      </c>
      <c r="J3" s="55" t="s">
        <v>67</v>
      </c>
      <c r="K3" s="55"/>
      <c r="L3" s="56" t="s">
        <v>325</v>
      </c>
      <c r="M3" s="56" t="s">
        <v>326</v>
      </c>
      <c r="N3" s="56" t="s">
        <v>75</v>
      </c>
      <c r="O3" s="56" t="s">
        <v>76</v>
      </c>
      <c r="P3" s="56" t="s">
        <v>77</v>
      </c>
    </row>
    <row r="4" spans="2:16" x14ac:dyDescent="0.15">
      <c r="B4" s="11" t="s">
        <v>52</v>
      </c>
      <c r="D4" s="11">
        <v>844</v>
      </c>
      <c r="E4" s="16">
        <v>1757</v>
      </c>
      <c r="F4" s="16">
        <v>1655</v>
      </c>
      <c r="G4" s="16">
        <v>2900</v>
      </c>
      <c r="H4" s="16">
        <v>3544</v>
      </c>
      <c r="I4" s="16"/>
      <c r="J4" s="16" t="s">
        <v>112</v>
      </c>
      <c r="K4" s="16"/>
      <c r="L4" s="16">
        <v>8442</v>
      </c>
      <c r="M4" s="16">
        <v>8382</v>
      </c>
      <c r="N4" s="16">
        <v>9121</v>
      </c>
      <c r="O4" s="16">
        <v>10904</v>
      </c>
      <c r="P4" s="16">
        <v>10375</v>
      </c>
    </row>
    <row r="5" spans="2:16" x14ac:dyDescent="0.15">
      <c r="B5" s="11" t="s">
        <v>103</v>
      </c>
      <c r="D5" s="11">
        <v>2162</v>
      </c>
      <c r="E5" s="16">
        <v>1382</v>
      </c>
      <c r="F5" s="16">
        <v>1239</v>
      </c>
      <c r="G5" s="16">
        <v>1089</v>
      </c>
      <c r="H5" s="16">
        <v>1125</v>
      </c>
      <c r="I5" s="16"/>
      <c r="J5" s="16" t="s">
        <v>113</v>
      </c>
      <c r="K5" s="16"/>
      <c r="L5" s="16">
        <v>1015</v>
      </c>
      <c r="M5" s="16">
        <v>879</v>
      </c>
      <c r="N5" s="16">
        <v>1002</v>
      </c>
      <c r="O5" s="16">
        <v>994</v>
      </c>
      <c r="P5" s="16">
        <v>982</v>
      </c>
    </row>
    <row r="6" spans="2:16" ht="26" x14ac:dyDescent="0.15">
      <c r="B6" s="68" t="s">
        <v>104</v>
      </c>
      <c r="C6" s="69"/>
      <c r="D6" s="69">
        <v>5247</v>
      </c>
      <c r="E6" s="70">
        <v>5315</v>
      </c>
      <c r="F6" s="70">
        <v>6766</v>
      </c>
      <c r="G6" s="70">
        <v>7812</v>
      </c>
      <c r="H6" s="71">
        <v>8011</v>
      </c>
      <c r="I6" s="16"/>
      <c r="J6" s="72" t="s">
        <v>114</v>
      </c>
      <c r="K6" s="70"/>
      <c r="L6" s="70">
        <v>850</v>
      </c>
      <c r="M6" s="70">
        <v>909</v>
      </c>
      <c r="N6" s="70">
        <v>1632</v>
      </c>
      <c r="O6" s="70">
        <v>1123</v>
      </c>
      <c r="P6" s="71">
        <v>1051</v>
      </c>
    </row>
    <row r="7" spans="2:16" x14ac:dyDescent="0.15">
      <c r="B7" s="11" t="s">
        <v>105</v>
      </c>
      <c r="D7" s="11">
        <v>3354</v>
      </c>
      <c r="E7" s="16">
        <v>3272</v>
      </c>
      <c r="F7" s="16">
        <v>3999</v>
      </c>
      <c r="G7" s="16">
        <v>4387</v>
      </c>
      <c r="H7" s="16">
        <v>4375</v>
      </c>
      <c r="I7" s="16"/>
      <c r="J7" s="16" t="s">
        <v>115</v>
      </c>
      <c r="K7" s="16"/>
      <c r="L7" s="16">
        <v>184</v>
      </c>
      <c r="M7" s="16">
        <v>189</v>
      </c>
      <c r="N7" s="16">
        <v>263</v>
      </c>
      <c r="O7" s="16">
        <v>374</v>
      </c>
      <c r="P7" s="16">
        <v>403</v>
      </c>
    </row>
    <row r="8" spans="2:16" ht="13" thickBot="1" x14ac:dyDescent="0.2">
      <c r="B8" s="11" t="s">
        <v>106</v>
      </c>
      <c r="D8" s="11">
        <v>1312</v>
      </c>
      <c r="E8" s="16">
        <v>928</v>
      </c>
      <c r="F8" s="16">
        <v>1344</v>
      </c>
      <c r="G8" s="16">
        <v>1530</v>
      </c>
      <c r="H8" s="16">
        <v>1515</v>
      </c>
      <c r="I8" s="16"/>
      <c r="J8" s="60" t="s">
        <v>102</v>
      </c>
      <c r="K8" s="62"/>
      <c r="L8" s="147">
        <v>10491</v>
      </c>
      <c r="M8" s="147">
        <v>10359</v>
      </c>
      <c r="N8" s="147">
        <v>12018</v>
      </c>
      <c r="O8" s="61">
        <v>13395</v>
      </c>
      <c r="P8" s="61">
        <v>12811</v>
      </c>
    </row>
    <row r="9" spans="2:16" ht="13" thickBot="1" x14ac:dyDescent="0.2">
      <c r="B9" s="60" t="s">
        <v>100</v>
      </c>
      <c r="C9" s="62"/>
      <c r="D9" s="61">
        <v>12919</v>
      </c>
      <c r="E9" s="61">
        <v>12654</v>
      </c>
      <c r="F9" s="61">
        <v>15003</v>
      </c>
      <c r="G9" s="61">
        <v>17718</v>
      </c>
      <c r="H9" s="61">
        <v>18570</v>
      </c>
      <c r="I9" s="16"/>
    </row>
    <row r="10" spans="2:16" x14ac:dyDescent="0.15">
      <c r="F10" s="16"/>
      <c r="G10" s="16"/>
      <c r="H10" s="16"/>
      <c r="I10" s="16"/>
      <c r="J10" s="16" t="s">
        <v>116</v>
      </c>
      <c r="K10" s="16"/>
      <c r="L10" s="16">
        <v>16036</v>
      </c>
      <c r="M10" s="16">
        <v>13286</v>
      </c>
      <c r="N10" s="16">
        <v>10594</v>
      </c>
      <c r="O10" s="16">
        <v>10842</v>
      </c>
      <c r="P10" s="16">
        <v>11023</v>
      </c>
    </row>
    <row r="11" spans="2:16" x14ac:dyDescent="0.15">
      <c r="B11" s="11" t="s">
        <v>107</v>
      </c>
      <c r="D11" s="11">
        <v>2061</v>
      </c>
      <c r="E11" s="16">
        <v>2044</v>
      </c>
      <c r="F11" s="16">
        <v>1581</v>
      </c>
      <c r="G11" s="16">
        <v>1624</v>
      </c>
      <c r="H11" s="16">
        <v>1635</v>
      </c>
      <c r="I11" s="16"/>
      <c r="J11" s="16" t="s">
        <v>117</v>
      </c>
      <c r="K11" s="16"/>
      <c r="L11" s="16">
        <v>1049</v>
      </c>
      <c r="M11" s="16">
        <v>231</v>
      </c>
      <c r="N11" s="16">
        <v>165</v>
      </c>
      <c r="O11" s="16">
        <v>175</v>
      </c>
      <c r="P11" s="16">
        <v>512</v>
      </c>
    </row>
    <row r="12" spans="2:16" x14ac:dyDescent="0.15">
      <c r="B12" s="11" t="s">
        <v>236</v>
      </c>
      <c r="D12" s="11">
        <v>6826</v>
      </c>
      <c r="E12" s="16">
        <v>6429</v>
      </c>
      <c r="F12" s="16">
        <v>6607</v>
      </c>
      <c r="G12" s="16">
        <v>7240</v>
      </c>
      <c r="H12" s="16">
        <v>7359</v>
      </c>
      <c r="I12" s="16"/>
      <c r="J12" s="11" t="s">
        <v>118</v>
      </c>
      <c r="L12" s="11">
        <v>19</v>
      </c>
      <c r="M12" s="11">
        <v>94</v>
      </c>
      <c r="N12" s="16">
        <v>61</v>
      </c>
      <c r="O12" s="16">
        <v>140</v>
      </c>
      <c r="P12" s="16">
        <v>67</v>
      </c>
    </row>
    <row r="13" spans="2:16" x14ac:dyDescent="0.15">
      <c r="B13" s="11" t="s">
        <v>108</v>
      </c>
      <c r="D13" s="11">
        <v>12980</v>
      </c>
      <c r="E13" s="16">
        <v>12990</v>
      </c>
      <c r="F13" s="16">
        <v>12982</v>
      </c>
      <c r="G13" s="16">
        <v>14084</v>
      </c>
      <c r="H13" s="16">
        <v>14593</v>
      </c>
      <c r="I13" s="16"/>
      <c r="J13" s="11" t="s">
        <v>119</v>
      </c>
      <c r="L13" s="11">
        <v>2350</v>
      </c>
      <c r="M13" s="11">
        <v>2255</v>
      </c>
      <c r="N13" s="16">
        <v>2308</v>
      </c>
      <c r="O13" s="16">
        <v>2046</v>
      </c>
      <c r="P13" s="16">
        <v>2172</v>
      </c>
    </row>
    <row r="14" spans="2:16" ht="13" thickBot="1" x14ac:dyDescent="0.2">
      <c r="B14" s="11" t="s">
        <v>109</v>
      </c>
      <c r="D14" s="11">
        <v>3455</v>
      </c>
      <c r="E14" s="16">
        <v>3211</v>
      </c>
      <c r="F14" s="16">
        <v>2992</v>
      </c>
      <c r="G14" s="16">
        <v>3239</v>
      </c>
      <c r="H14" s="16">
        <v>3012</v>
      </c>
      <c r="I14" s="16"/>
      <c r="J14" s="61" t="s">
        <v>111</v>
      </c>
      <c r="K14" s="63"/>
      <c r="L14" s="61">
        <v>19454</v>
      </c>
      <c r="M14" s="61">
        <v>15866</v>
      </c>
      <c r="N14" s="61">
        <v>13128</v>
      </c>
      <c r="O14" s="61">
        <v>13203</v>
      </c>
      <c r="P14" s="61">
        <v>13774</v>
      </c>
    </row>
    <row r="15" spans="2:16" x14ac:dyDescent="0.15">
      <c r="B15" s="11" t="s">
        <v>110</v>
      </c>
      <c r="D15" s="11">
        <v>4193</v>
      </c>
      <c r="E15" s="16">
        <v>4183</v>
      </c>
      <c r="F15" s="16">
        <v>3970</v>
      </c>
      <c r="G15" s="16">
        <v>4052</v>
      </c>
      <c r="H15" s="16">
        <v>3766</v>
      </c>
      <c r="I15" s="16"/>
    </row>
    <row r="16" spans="2:16" ht="13" thickBot="1" x14ac:dyDescent="0.2">
      <c r="B16" s="60" t="s">
        <v>101</v>
      </c>
      <c r="C16" s="62"/>
      <c r="D16" s="61">
        <v>29515</v>
      </c>
      <c r="E16" s="61">
        <v>28857</v>
      </c>
      <c r="F16" s="61">
        <v>28132</v>
      </c>
      <c r="G16" s="61">
        <v>30239</v>
      </c>
      <c r="H16" s="61">
        <v>30365</v>
      </c>
      <c r="I16" s="16"/>
      <c r="J16" s="11" t="s">
        <v>120</v>
      </c>
      <c r="L16" s="11">
        <v>12970</v>
      </c>
      <c r="M16" s="11">
        <v>12608</v>
      </c>
      <c r="N16" s="16">
        <v>11837</v>
      </c>
      <c r="O16" s="16">
        <v>11624</v>
      </c>
      <c r="P16" s="16">
        <v>11458</v>
      </c>
    </row>
    <row r="17" spans="2:16" x14ac:dyDescent="0.15">
      <c r="F17" s="16"/>
      <c r="G17" s="16"/>
      <c r="H17" s="16"/>
      <c r="I17" s="16"/>
      <c r="J17" s="16" t="s">
        <v>121</v>
      </c>
      <c r="K17" s="16"/>
      <c r="L17" s="16">
        <v>-3033</v>
      </c>
      <c r="M17" s="16">
        <v>-2233</v>
      </c>
      <c r="N17" s="16">
        <v>-1016</v>
      </c>
      <c r="O17" s="16">
        <v>-678</v>
      </c>
      <c r="P17" s="16">
        <v>-1773</v>
      </c>
    </row>
    <row r="18" spans="2:16" x14ac:dyDescent="0.15">
      <c r="F18" s="16"/>
      <c r="G18" s="16"/>
      <c r="H18" s="16"/>
      <c r="I18" s="16"/>
      <c r="J18" s="16" t="s">
        <v>69</v>
      </c>
      <c r="K18" s="16"/>
      <c r="L18" s="16">
        <v>7018</v>
      </c>
      <c r="M18" s="16">
        <v>8199</v>
      </c>
      <c r="N18" s="16">
        <v>10719</v>
      </c>
      <c r="O18" s="16">
        <v>13497</v>
      </c>
      <c r="P18" s="16">
        <v>16395</v>
      </c>
    </row>
    <row r="19" spans="2:16" x14ac:dyDescent="0.15">
      <c r="F19" s="16"/>
      <c r="G19" s="16"/>
      <c r="H19" s="16"/>
      <c r="I19" s="16"/>
      <c r="J19" s="16" t="s">
        <v>122</v>
      </c>
      <c r="K19" s="16"/>
      <c r="L19" s="16">
        <v>-4884</v>
      </c>
      <c r="M19" s="16">
        <v>-3570</v>
      </c>
      <c r="N19" s="16">
        <v>-3855</v>
      </c>
      <c r="O19" s="16">
        <v>-4254</v>
      </c>
      <c r="P19" s="16">
        <v>-4950</v>
      </c>
    </row>
    <row r="20" spans="2:16" x14ac:dyDescent="0.15">
      <c r="J20" s="73" t="s">
        <v>123</v>
      </c>
      <c r="K20" s="73"/>
      <c r="L20" s="73">
        <v>12071</v>
      </c>
      <c r="M20" s="73">
        <v>15004</v>
      </c>
      <c r="N20" s="78">
        <v>17685</v>
      </c>
      <c r="O20" s="78">
        <v>20189</v>
      </c>
      <c r="P20" s="78">
        <v>21130</v>
      </c>
    </row>
    <row r="21" spans="2:16" x14ac:dyDescent="0.15">
      <c r="J21" s="74" t="s">
        <v>124</v>
      </c>
      <c r="K21" s="74"/>
      <c r="L21" s="74">
        <v>418</v>
      </c>
      <c r="M21" s="74">
        <v>282</v>
      </c>
      <c r="N21" s="79">
        <v>304</v>
      </c>
      <c r="O21" s="79">
        <v>1170</v>
      </c>
      <c r="P21" s="79">
        <v>1220</v>
      </c>
    </row>
    <row r="22" spans="2:16" ht="13" thickBot="1" x14ac:dyDescent="0.2">
      <c r="J22" s="61" t="s">
        <v>70</v>
      </c>
      <c r="K22" s="63"/>
      <c r="L22" s="61">
        <v>12489</v>
      </c>
      <c r="M22" s="61">
        <v>15286</v>
      </c>
      <c r="N22" s="61">
        <v>17989</v>
      </c>
      <c r="O22" s="61">
        <v>21359</v>
      </c>
      <c r="P22" s="61">
        <v>22350</v>
      </c>
    </row>
    <row r="23" spans="2:16" x14ac:dyDescent="0.15">
      <c r="J23" s="16"/>
      <c r="K23" s="16"/>
      <c r="L23" s="16"/>
      <c r="M23" s="16"/>
      <c r="N23" s="16"/>
      <c r="O23" s="16"/>
      <c r="P23" s="16"/>
    </row>
    <row r="24" spans="2:16" ht="13" thickBot="1" x14ac:dyDescent="0.2">
      <c r="B24" s="60" t="s">
        <v>40</v>
      </c>
      <c r="C24" s="62"/>
      <c r="D24" s="61">
        <v>42434</v>
      </c>
      <c r="E24" s="61">
        <v>41511</v>
      </c>
      <c r="F24" s="61">
        <v>43135</v>
      </c>
      <c r="G24" s="61">
        <v>47957</v>
      </c>
      <c r="H24" s="61">
        <v>48935</v>
      </c>
      <c r="J24" s="61" t="s">
        <v>72</v>
      </c>
      <c r="K24" s="63"/>
      <c r="L24" s="61">
        <v>42434</v>
      </c>
      <c r="M24" s="61">
        <v>41511</v>
      </c>
      <c r="N24" s="61">
        <v>43135</v>
      </c>
      <c r="O24" s="61">
        <v>47957</v>
      </c>
      <c r="P24" s="61">
        <f>P8+P14+P22</f>
        <v>48935</v>
      </c>
    </row>
    <row r="27" spans="2:16" x14ac:dyDescent="0.15">
      <c r="L27" s="11">
        <f t="shared" ref="L27" si="0">L24-D24</f>
        <v>0</v>
      </c>
      <c r="M27" s="11">
        <f>M24-E24</f>
        <v>0</v>
      </c>
      <c r="N27" s="11">
        <f>N24-F24</f>
        <v>0</v>
      </c>
      <c r="O27" s="11">
        <f>O24-G24</f>
        <v>0</v>
      </c>
      <c r="P27" s="11">
        <f>P24-H24</f>
        <v>0</v>
      </c>
    </row>
    <row r="29" spans="2:16" x14ac:dyDescent="0.15">
      <c r="J29" s="11" t="s">
        <v>190</v>
      </c>
      <c r="L29" s="16">
        <f t="shared" ref="L29:M29" si="1">SUM(L10,L6)</f>
        <v>16886</v>
      </c>
      <c r="M29" s="16">
        <f t="shared" si="1"/>
        <v>14195</v>
      </c>
      <c r="N29" s="16">
        <f>SUM(N10,N6)</f>
        <v>12226</v>
      </c>
      <c r="O29" s="16">
        <f t="shared" ref="O29:P29" si="2">SUM(O10,O6)</f>
        <v>11965</v>
      </c>
      <c r="P29" s="16">
        <f t="shared" si="2"/>
        <v>12074</v>
      </c>
    </row>
    <row r="30" spans="2:16" x14ac:dyDescent="0.15">
      <c r="J30" s="11" t="s">
        <v>257</v>
      </c>
      <c r="N30" s="16"/>
      <c r="O30" s="16"/>
      <c r="P30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82EE-85F7-D64D-B774-A21758E8CE86}">
  <dimension ref="B1:H53"/>
  <sheetViews>
    <sheetView zoomScaleNormal="130" workbookViewId="0"/>
  </sheetViews>
  <sheetFormatPr baseColWidth="10" defaultColWidth="9.1640625" defaultRowHeight="12" x14ac:dyDescent="0.15"/>
  <cols>
    <col min="1" max="1" width="2" style="11" customWidth="1"/>
    <col min="2" max="2" width="47.1640625" style="11" customWidth="1"/>
    <col min="3" max="3" width="12.6640625" style="11" customWidth="1"/>
    <col min="4" max="4" width="10.83203125" style="11" customWidth="1"/>
    <col min="5" max="5" width="10.6640625" style="11" customWidth="1"/>
    <col min="6" max="6" width="10" style="11" bestFit="1" customWidth="1"/>
    <col min="7" max="7" width="9.1640625" style="11"/>
    <col min="8" max="8" width="22.1640625" style="11" bestFit="1" customWidth="1"/>
    <col min="9" max="9" width="9.1640625" style="11"/>
    <col min="10" max="10" width="10" style="11" bestFit="1" customWidth="1"/>
    <col min="11" max="11" width="10.5" style="11" customWidth="1"/>
    <col min="12" max="12" width="11.1640625" style="11" customWidth="1"/>
    <col min="13" max="16384" width="9.1640625" style="11"/>
  </cols>
  <sheetData>
    <row r="1" spans="2:7" ht="16" x14ac:dyDescent="0.2">
      <c r="B1" s="10" t="s">
        <v>73</v>
      </c>
    </row>
    <row r="3" spans="2:7" ht="26" x14ac:dyDescent="0.15">
      <c r="B3" s="55" t="s">
        <v>78</v>
      </c>
      <c r="C3" s="55"/>
      <c r="D3" s="56" t="s">
        <v>75</v>
      </c>
      <c r="E3" s="56" t="s">
        <v>76</v>
      </c>
      <c r="F3" s="56" t="s">
        <v>77</v>
      </c>
    </row>
    <row r="4" spans="2:7" x14ac:dyDescent="0.15">
      <c r="B4" s="75" t="s">
        <v>37</v>
      </c>
      <c r="D4" s="76">
        <v>3492</v>
      </c>
      <c r="E4" s="76">
        <v>4275</v>
      </c>
      <c r="F4" s="76">
        <v>4579</v>
      </c>
      <c r="G4" s="16"/>
    </row>
    <row r="5" spans="2:7" x14ac:dyDescent="0.15">
      <c r="B5" s="75"/>
      <c r="D5" s="16"/>
      <c r="E5" s="16"/>
      <c r="F5" s="16"/>
      <c r="G5" s="16"/>
    </row>
    <row r="6" spans="2:7" ht="12" customHeight="1" x14ac:dyDescent="0.15">
      <c r="B6" s="75" t="s">
        <v>131</v>
      </c>
      <c r="D6" s="76"/>
      <c r="E6" s="76"/>
      <c r="F6" s="76"/>
      <c r="G6" s="16"/>
    </row>
    <row r="7" spans="2:7" x14ac:dyDescent="0.15">
      <c r="B7" s="75" t="s">
        <v>125</v>
      </c>
      <c r="C7" s="75"/>
      <c r="D7" s="16"/>
      <c r="E7" s="16"/>
      <c r="F7" s="16"/>
      <c r="G7" s="16"/>
    </row>
    <row r="8" spans="2:7" ht="13" x14ac:dyDescent="0.15">
      <c r="B8" s="77" t="s">
        <v>126</v>
      </c>
      <c r="D8" s="16">
        <v>-347</v>
      </c>
      <c r="E8" s="16">
        <v>110</v>
      </c>
      <c r="F8" s="16">
        <v>541</v>
      </c>
      <c r="G8" s="16"/>
    </row>
    <row r="9" spans="2:7" x14ac:dyDescent="0.15">
      <c r="B9" s="65" t="s">
        <v>127</v>
      </c>
      <c r="D9" s="16">
        <v>2147</v>
      </c>
      <c r="E9" s="16">
        <v>2312</v>
      </c>
      <c r="F9" s="16">
        <v>2519</v>
      </c>
      <c r="G9" s="16"/>
    </row>
    <row r="10" spans="2:7" x14ac:dyDescent="0.15">
      <c r="B10" s="65" t="s">
        <v>71</v>
      </c>
      <c r="D10" s="16">
        <v>-39</v>
      </c>
      <c r="E10" s="16">
        <v>28</v>
      </c>
      <c r="F10" s="16">
        <v>-41</v>
      </c>
      <c r="G10" s="16"/>
    </row>
    <row r="11" spans="2:7" x14ac:dyDescent="0.15">
      <c r="B11" s="65" t="s">
        <v>128</v>
      </c>
      <c r="D11" s="16">
        <v>313</v>
      </c>
      <c r="E11" s="16">
        <v>293</v>
      </c>
      <c r="F11" s="16">
        <v>316</v>
      </c>
      <c r="G11" s="16"/>
    </row>
    <row r="12" spans="2:7" x14ac:dyDescent="0.15">
      <c r="B12" s="65" t="s">
        <v>129</v>
      </c>
      <c r="D12" s="16">
        <v>-96</v>
      </c>
      <c r="E12" s="16">
        <v>-132</v>
      </c>
      <c r="F12" s="16">
        <v>-18</v>
      </c>
      <c r="G12" s="16"/>
    </row>
    <row r="13" spans="2:7" x14ac:dyDescent="0.15">
      <c r="B13" s="75" t="s">
        <v>130</v>
      </c>
      <c r="D13" s="16"/>
      <c r="E13" s="16"/>
      <c r="F13" s="16"/>
      <c r="G13" s="16"/>
    </row>
    <row r="14" spans="2:7" x14ac:dyDescent="0.15">
      <c r="B14" s="65" t="s">
        <v>132</v>
      </c>
      <c r="C14" s="75"/>
      <c r="D14" s="16">
        <v>-1728</v>
      </c>
      <c r="E14" s="16">
        <v>-659</v>
      </c>
      <c r="F14" s="16">
        <v>-236</v>
      </c>
      <c r="G14" s="16"/>
    </row>
    <row r="15" spans="2:7" x14ac:dyDescent="0.15">
      <c r="B15" s="65" t="s">
        <v>133</v>
      </c>
      <c r="D15" s="16">
        <v>-737</v>
      </c>
      <c r="E15" s="16">
        <v>-254</v>
      </c>
      <c r="F15" s="16">
        <v>-101</v>
      </c>
      <c r="G15" s="16"/>
    </row>
    <row r="16" spans="2:7" x14ac:dyDescent="0.15">
      <c r="B16" s="65" t="s">
        <v>134</v>
      </c>
      <c r="D16" s="16">
        <v>-44</v>
      </c>
      <c r="E16" s="16">
        <v>121</v>
      </c>
      <c r="F16" s="16">
        <v>3</v>
      </c>
      <c r="G16" s="16"/>
    </row>
    <row r="17" spans="2:8" x14ac:dyDescent="0.15">
      <c r="B17" s="65" t="s">
        <v>135</v>
      </c>
      <c r="D17" s="16">
        <v>-45</v>
      </c>
      <c r="E17" s="16">
        <v>-10</v>
      </c>
      <c r="F17" s="16">
        <v>13</v>
      </c>
      <c r="G17" s="16"/>
    </row>
    <row r="18" spans="2:8" x14ac:dyDescent="0.15">
      <c r="B18" s="65" t="s">
        <v>136</v>
      </c>
      <c r="C18" s="75"/>
      <c r="D18" s="16">
        <v>704</v>
      </c>
      <c r="E18" s="16">
        <v>724</v>
      </c>
      <c r="F18" s="16">
        <v>-994</v>
      </c>
      <c r="G18" s="16"/>
    </row>
    <row r="19" spans="2:8" x14ac:dyDescent="0.15">
      <c r="B19" s="65" t="s">
        <v>137</v>
      </c>
      <c r="D19" s="16">
        <v>96</v>
      </c>
      <c r="E19" s="16">
        <v>-62</v>
      </c>
      <c r="F19" s="16">
        <v>-51</v>
      </c>
      <c r="G19" s="16"/>
    </row>
    <row r="20" spans="2:8" x14ac:dyDescent="0.15">
      <c r="B20" s="65" t="s">
        <v>138</v>
      </c>
      <c r="D20" s="16">
        <v>23</v>
      </c>
      <c r="E20" s="16">
        <v>-76</v>
      </c>
      <c r="F20" s="16">
        <v>32</v>
      </c>
    </row>
    <row r="21" spans="2:8" x14ac:dyDescent="0.15">
      <c r="B21" s="65" t="s">
        <v>139</v>
      </c>
      <c r="D21" s="16">
        <v>-19</v>
      </c>
      <c r="E21" s="16">
        <v>-33</v>
      </c>
      <c r="F21" s="16">
        <v>40</v>
      </c>
    </row>
    <row r="22" spans="2:8" ht="13" thickBot="1" x14ac:dyDescent="0.2">
      <c r="B22" s="60" t="s">
        <v>140</v>
      </c>
      <c r="C22" s="62"/>
      <c r="D22" s="61">
        <v>3720</v>
      </c>
      <c r="E22" s="61">
        <v>6637</v>
      </c>
      <c r="F22" s="61">
        <v>6602</v>
      </c>
    </row>
    <row r="23" spans="2:8" x14ac:dyDescent="0.15">
      <c r="B23" s="75"/>
      <c r="C23" s="75"/>
      <c r="D23" s="76"/>
      <c r="E23" s="76"/>
      <c r="F23" s="76"/>
    </row>
    <row r="24" spans="2:8" x14ac:dyDescent="0.15">
      <c r="B24" s="75" t="s">
        <v>141</v>
      </c>
      <c r="D24" s="16"/>
      <c r="E24" s="16"/>
      <c r="F24" s="16"/>
    </row>
    <row r="25" spans="2:8" x14ac:dyDescent="0.15">
      <c r="B25" s="65" t="s">
        <v>142</v>
      </c>
      <c r="D25" s="16">
        <v>-1618</v>
      </c>
      <c r="E25" s="16">
        <v>-1939</v>
      </c>
      <c r="F25" s="16">
        <v>-1931</v>
      </c>
    </row>
    <row r="26" spans="2:8" x14ac:dyDescent="0.15">
      <c r="B26" s="65" t="s">
        <v>143</v>
      </c>
      <c r="D26" s="16">
        <v>-587</v>
      </c>
      <c r="E26" s="16">
        <v>-507</v>
      </c>
      <c r="F26" s="16">
        <v>-483</v>
      </c>
    </row>
    <row r="27" spans="2:8" x14ac:dyDescent="0.15">
      <c r="B27" s="65" t="s">
        <v>144</v>
      </c>
      <c r="C27" s="75"/>
      <c r="D27" s="16">
        <v>-97</v>
      </c>
      <c r="E27" s="16">
        <v>-153</v>
      </c>
      <c r="F27" s="16">
        <v>-198</v>
      </c>
    </row>
    <row r="28" spans="2:8" x14ac:dyDescent="0.15">
      <c r="B28" s="65" t="s">
        <v>145</v>
      </c>
      <c r="D28" s="16">
        <v>-58</v>
      </c>
      <c r="E28" s="16">
        <v>-242</v>
      </c>
      <c r="F28" s="16">
        <v>-553</v>
      </c>
    </row>
    <row r="29" spans="2:8" x14ac:dyDescent="0.15">
      <c r="B29" s="65" t="s">
        <v>146</v>
      </c>
      <c r="D29" s="16">
        <v>138</v>
      </c>
      <c r="E29" s="16">
        <v>117</v>
      </c>
      <c r="F29" s="16">
        <v>-32</v>
      </c>
      <c r="H29" s="16"/>
    </row>
    <row r="30" spans="2:8" x14ac:dyDescent="0.15">
      <c r="B30" s="65" t="s">
        <v>147</v>
      </c>
      <c r="D30" s="16">
        <v>-259</v>
      </c>
      <c r="E30" s="16">
        <v>-185</v>
      </c>
      <c r="F30" s="16">
        <v>-207</v>
      </c>
    </row>
    <row r="31" spans="2:8" x14ac:dyDescent="0.15">
      <c r="B31" s="65" t="s">
        <v>148</v>
      </c>
      <c r="D31" s="16">
        <v>111</v>
      </c>
      <c r="E31" s="16">
        <v>97</v>
      </c>
      <c r="F31" s="16">
        <v>152</v>
      </c>
    </row>
    <row r="32" spans="2:8" x14ac:dyDescent="0.15">
      <c r="B32" s="65" t="s">
        <v>149</v>
      </c>
      <c r="D32" s="16">
        <v>732</v>
      </c>
      <c r="E32" s="16">
        <v>137</v>
      </c>
      <c r="F32" s="16">
        <v>0</v>
      </c>
    </row>
    <row r="33" spans="2:6" x14ac:dyDescent="0.15">
      <c r="B33" s="65" t="s">
        <v>150</v>
      </c>
      <c r="D33" s="16">
        <v>223</v>
      </c>
      <c r="E33" s="16">
        <v>0</v>
      </c>
      <c r="F33" s="16">
        <v>0</v>
      </c>
    </row>
    <row r="34" spans="2:6" x14ac:dyDescent="0.15">
      <c r="B34" s="65" t="s">
        <v>151</v>
      </c>
      <c r="D34" s="16">
        <v>120</v>
      </c>
      <c r="E34" s="16">
        <v>0</v>
      </c>
      <c r="F34" s="16">
        <v>0</v>
      </c>
    </row>
    <row r="35" spans="2:6" x14ac:dyDescent="0.15">
      <c r="B35" s="65" t="s">
        <v>139</v>
      </c>
      <c r="D35" s="16">
        <v>-93</v>
      </c>
      <c r="E35" s="16">
        <v>-108</v>
      </c>
      <c r="F35" s="16">
        <v>107</v>
      </c>
    </row>
    <row r="36" spans="2:6" ht="13" thickBot="1" x14ac:dyDescent="0.2">
      <c r="B36" s="60" t="s">
        <v>152</v>
      </c>
      <c r="C36" s="62"/>
      <c r="D36" s="61">
        <v>-1388</v>
      </c>
      <c r="E36" s="61">
        <v>-2783</v>
      </c>
      <c r="F36" s="61">
        <v>-3145</v>
      </c>
    </row>
    <row r="38" spans="2:6" x14ac:dyDescent="0.15">
      <c r="B38" s="75" t="s">
        <v>153</v>
      </c>
    </row>
    <row r="39" spans="2:6" x14ac:dyDescent="0.15">
      <c r="B39" s="65" t="s">
        <v>154</v>
      </c>
      <c r="D39" s="16">
        <v>-848</v>
      </c>
      <c r="E39" s="16">
        <v>-1317</v>
      </c>
      <c r="F39" s="16">
        <v>-1533</v>
      </c>
    </row>
    <row r="40" spans="2:6" x14ac:dyDescent="0.15">
      <c r="B40" s="65" t="s">
        <v>155</v>
      </c>
      <c r="D40" s="16">
        <v>0</v>
      </c>
      <c r="E40" s="16">
        <v>-694</v>
      </c>
      <c r="F40" s="16">
        <v>-1737</v>
      </c>
    </row>
    <row r="41" spans="2:6" x14ac:dyDescent="0.15">
      <c r="B41" s="65" t="s">
        <v>156</v>
      </c>
      <c r="D41" s="16">
        <v>142</v>
      </c>
      <c r="E41" s="16">
        <v>191</v>
      </c>
      <c r="F41" s="16">
        <v>219</v>
      </c>
    </row>
    <row r="42" spans="2:6" x14ac:dyDescent="0.15">
      <c r="B42" s="65" t="s">
        <v>157</v>
      </c>
      <c r="D42" s="16">
        <v>81</v>
      </c>
      <c r="E42" s="16">
        <v>90</v>
      </c>
      <c r="F42" s="16">
        <v>29</v>
      </c>
    </row>
    <row r="43" spans="2:6" x14ac:dyDescent="0.15">
      <c r="B43" s="65" t="s">
        <v>158</v>
      </c>
      <c r="D43" s="16">
        <v>-93</v>
      </c>
      <c r="E43" s="16">
        <v>-169</v>
      </c>
      <c r="F43" s="16">
        <v>-90</v>
      </c>
    </row>
    <row r="44" spans="2:6" x14ac:dyDescent="0.15">
      <c r="B44" s="65" t="s">
        <v>159</v>
      </c>
      <c r="D44" s="16">
        <v>0</v>
      </c>
      <c r="E44" s="16">
        <v>994</v>
      </c>
      <c r="F44" s="16">
        <v>1475</v>
      </c>
    </row>
    <row r="45" spans="2:6" x14ac:dyDescent="0.15">
      <c r="B45" s="65" t="s">
        <v>166</v>
      </c>
      <c r="D45" s="16">
        <v>-1650</v>
      </c>
      <c r="E45" s="16">
        <v>-1578</v>
      </c>
      <c r="F45" s="16">
        <v>-955</v>
      </c>
    </row>
    <row r="46" spans="2:6" x14ac:dyDescent="0.15">
      <c r="B46" s="65" t="s">
        <v>160</v>
      </c>
      <c r="D46" s="16">
        <v>37</v>
      </c>
      <c r="E46" s="16">
        <v>2</v>
      </c>
      <c r="F46" s="16">
        <v>-115</v>
      </c>
    </row>
    <row r="47" spans="2:6" x14ac:dyDescent="0.15">
      <c r="B47" s="65" t="s">
        <v>139</v>
      </c>
      <c r="D47" s="16">
        <v>-51</v>
      </c>
      <c r="E47" s="16">
        <v>-31</v>
      </c>
      <c r="F47" s="16">
        <v>-65</v>
      </c>
    </row>
    <row r="48" spans="2:6" ht="13" thickBot="1" x14ac:dyDescent="0.2">
      <c r="B48" s="60" t="s">
        <v>161</v>
      </c>
      <c r="C48" s="62"/>
      <c r="D48" s="61">
        <v>-2382</v>
      </c>
      <c r="E48" s="61">
        <v>-2512</v>
      </c>
      <c r="F48" s="61">
        <v>-2772</v>
      </c>
    </row>
    <row r="50" spans="2:6" x14ac:dyDescent="0.15">
      <c r="B50" s="11" t="s">
        <v>162</v>
      </c>
      <c r="D50" s="16">
        <v>-50</v>
      </c>
      <c r="E50" s="16">
        <v>1342</v>
      </c>
      <c r="F50" s="16">
        <v>685</v>
      </c>
    </row>
    <row r="51" spans="2:6" x14ac:dyDescent="0.15">
      <c r="B51" s="11" t="s">
        <v>163</v>
      </c>
      <c r="D51" s="16">
        <v>-52</v>
      </c>
      <c r="E51" s="16">
        <v>-97</v>
      </c>
      <c r="F51" s="16">
        <v>-41</v>
      </c>
    </row>
    <row r="52" spans="2:6" x14ac:dyDescent="0.15">
      <c r="B52" s="75" t="s">
        <v>164</v>
      </c>
      <c r="D52" s="16">
        <v>1757</v>
      </c>
      <c r="E52" s="16">
        <v>1655</v>
      </c>
      <c r="F52" s="16">
        <v>2900</v>
      </c>
    </row>
    <row r="53" spans="2:6" ht="13" thickBot="1" x14ac:dyDescent="0.2">
      <c r="B53" s="60" t="s">
        <v>165</v>
      </c>
      <c r="C53" s="62"/>
      <c r="D53" s="61">
        <v>1655</v>
      </c>
      <c r="E53" s="61">
        <v>2900</v>
      </c>
      <c r="F53" s="61">
        <v>3544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B80EB-3B33-C545-808B-1C1D7DECCB63}">
  <sheetPr>
    <tabColor rgb="FF002060"/>
  </sheetPr>
  <dimension ref="B1:B11"/>
  <sheetViews>
    <sheetView zoomScale="130" zoomScaleNormal="130" workbookViewId="0">
      <selection activeCell="K22" sqref="K22"/>
    </sheetView>
  </sheetViews>
  <sheetFormatPr baseColWidth="10" defaultColWidth="9.1640625" defaultRowHeight="12" x14ac:dyDescent="0.15"/>
  <cols>
    <col min="1" max="1" width="2" style="2" customWidth="1"/>
    <col min="2" max="16384" width="9.1640625" style="2"/>
  </cols>
  <sheetData>
    <row r="1" spans="2:2" ht="16" x14ac:dyDescent="0.2">
      <c r="B1" s="1"/>
    </row>
    <row r="11" spans="2:2" ht="40" x14ac:dyDescent="0.4">
      <c r="B11" s="9" t="s">
        <v>314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54D9C-E446-9D4F-8A3C-B237849AE607}">
  <dimension ref="B1:P56"/>
  <sheetViews>
    <sheetView zoomScale="125" zoomScaleNormal="130" workbookViewId="0">
      <selection activeCell="B3" sqref="B3"/>
    </sheetView>
  </sheetViews>
  <sheetFormatPr baseColWidth="10" defaultColWidth="9.1640625" defaultRowHeight="12" x14ac:dyDescent="0.15"/>
  <cols>
    <col min="1" max="1" width="2" style="11" customWidth="1"/>
    <col min="2" max="2" width="30.5" style="11" bestFit="1" customWidth="1"/>
    <col min="3" max="3" width="33.5" style="11" bestFit="1" customWidth="1"/>
    <col min="4" max="5" width="10.5" style="11" customWidth="1"/>
    <col min="6" max="6" width="10.5" style="11" bestFit="1" customWidth="1"/>
    <col min="7" max="8" width="9.1640625" style="11"/>
    <col min="9" max="9" width="2" style="11" customWidth="1"/>
    <col min="10" max="10" width="10.5" style="11" bestFit="1" customWidth="1"/>
    <col min="11" max="14" width="9.1640625" style="11"/>
    <col min="15" max="15" width="2" style="11" customWidth="1"/>
    <col min="16" max="16384" width="9.1640625" style="11"/>
  </cols>
  <sheetData>
    <row r="1" spans="2:15" ht="16" x14ac:dyDescent="0.2">
      <c r="B1" s="10" t="s">
        <v>328</v>
      </c>
      <c r="C1" s="10"/>
      <c r="D1" s="10"/>
      <c r="E1" s="10"/>
    </row>
    <row r="3" spans="2:15" ht="27" thickBot="1" x14ac:dyDescent="0.2">
      <c r="B3" s="12" t="s">
        <v>329</v>
      </c>
      <c r="C3" s="12" t="s">
        <v>346</v>
      </c>
      <c r="D3" s="13" t="s">
        <v>330</v>
      </c>
      <c r="E3" s="13" t="s">
        <v>331</v>
      </c>
      <c r="F3" s="13" t="s">
        <v>181</v>
      </c>
      <c r="G3" s="13" t="s">
        <v>182</v>
      </c>
      <c r="H3" s="13" t="s">
        <v>183</v>
      </c>
      <c r="I3" s="14"/>
      <c r="J3" s="25" t="s">
        <v>30</v>
      </c>
      <c r="K3" s="14"/>
      <c r="L3" s="14"/>
      <c r="M3" s="14"/>
      <c r="N3" s="14"/>
    </row>
    <row r="4" spans="2:15" x14ac:dyDescent="0.15">
      <c r="B4" s="223" t="s">
        <v>332</v>
      </c>
      <c r="C4" s="223"/>
      <c r="D4" s="224"/>
      <c r="E4" s="224"/>
      <c r="F4" s="224"/>
      <c r="G4" s="224"/>
      <c r="H4" s="224"/>
      <c r="I4" s="16">
        <f>SUMIF(Assumptions!$B:$B,Ratios!$B4,Assumptions!F:F)</f>
        <v>0</v>
      </c>
      <c r="J4" s="16"/>
      <c r="K4" s="16"/>
      <c r="L4" s="16"/>
      <c r="M4" s="16"/>
      <c r="N4" s="16"/>
    </row>
    <row r="5" spans="2:15" x14ac:dyDescent="0.15">
      <c r="B5" s="104" t="s">
        <v>333</v>
      </c>
      <c r="C5" s="104" t="s">
        <v>347</v>
      </c>
      <c r="D5" s="151">
        <f>'P&amp;L source'!D10/'P&amp;L source'!D6</f>
        <v>0.11020719461039787</v>
      </c>
      <c r="E5" s="151">
        <f>'P&amp;L source'!E10/'P&amp;L source'!E6</f>
        <v>0.15953595882942997</v>
      </c>
      <c r="F5" s="151">
        <f>'P&amp;L source'!F10/'P&amp;L source'!F6</f>
        <v>0.18372432451674914</v>
      </c>
      <c r="G5" s="151">
        <f>'P&amp;L source'!G10/'P&amp;L source'!G6</f>
        <v>0.19806850762034103</v>
      </c>
      <c r="H5" s="151">
        <f>'P&amp;L source'!H10/'P&amp;L source'!H6</f>
        <v>0.20557193639945989</v>
      </c>
      <c r="I5" s="16">
        <f>SUMIF(Assumptions!$B:$B,Ratios!$B5,Assumptions!F:F)</f>
        <v>0</v>
      </c>
      <c r="J5" s="152" t="s">
        <v>367</v>
      </c>
      <c r="K5" s="16"/>
      <c r="L5" s="16"/>
      <c r="M5" s="16"/>
      <c r="N5" s="16"/>
    </row>
    <row r="6" spans="2:15" x14ac:dyDescent="0.15">
      <c r="B6" s="104" t="s">
        <v>334</v>
      </c>
      <c r="C6" s="104" t="s">
        <v>348</v>
      </c>
      <c r="D6" s="151">
        <f>'P&amp;L source'!D18/'P&amp;L source'!D6</f>
        <v>-0.46616668785220966</v>
      </c>
      <c r="E6" s="151">
        <f>'P&amp;L source'!E18/'P&amp;L source'!E6</f>
        <v>0.12058964629944612</v>
      </c>
      <c r="F6" s="151">
        <f>'P&amp;L source'!F18/'P&amp;L source'!F6</f>
        <v>0.1477697483179666</v>
      </c>
      <c r="G6" s="151">
        <f>'P&amp;L source'!G18/'P&amp;L source'!G6</f>
        <v>0.16426739097630905</v>
      </c>
      <c r="H6" s="151">
        <f>'P&amp;L source'!H18/'P&amp;L source'!H6</f>
        <v>0.15993827330596047</v>
      </c>
      <c r="I6" s="103">
        <f t="shared" ref="I6" si="0">SUM(I4:I5)</f>
        <v>0</v>
      </c>
      <c r="J6" s="152" t="s">
        <v>368</v>
      </c>
      <c r="K6" s="103"/>
      <c r="L6" s="103"/>
      <c r="M6" s="103"/>
      <c r="N6" s="103"/>
      <c r="O6" s="103"/>
    </row>
    <row r="7" spans="2:15" x14ac:dyDescent="0.15">
      <c r="B7" s="104" t="s">
        <v>335</v>
      </c>
      <c r="C7" s="104" t="s">
        <v>349</v>
      </c>
      <c r="D7" s="151">
        <f>'P&amp;L source'!D25/'P&amp;L source'!D6</f>
        <v>-0.444303207491208</v>
      </c>
      <c r="E7" s="151">
        <f>'P&amp;L source'!E25/'P&amp;L source'!E6</f>
        <v>8.4085655719830787E-2</v>
      </c>
      <c r="F7" s="151">
        <f>'P&amp;L source'!F25/'P&amp;L source'!F6</f>
        <v>0.1243102773130184</v>
      </c>
      <c r="G7" s="151">
        <f>'P&amp;L source'!G25/'P&amp;L source'!G6</f>
        <v>0.12901765504753282</v>
      </c>
      <c r="H7" s="151">
        <f>'P&amp;L source'!H25/'P&amp;L source'!H6</f>
        <v>0.12618148750310013</v>
      </c>
      <c r="I7" s="104"/>
      <c r="J7" s="152" t="s">
        <v>369</v>
      </c>
      <c r="K7" s="16"/>
      <c r="L7" s="16"/>
      <c r="M7" s="16"/>
      <c r="N7" s="16"/>
    </row>
    <row r="8" spans="2:15" ht="13" customHeight="1" x14ac:dyDescent="0.15">
      <c r="B8" s="104" t="s">
        <v>336</v>
      </c>
      <c r="C8" s="104" t="s">
        <v>350</v>
      </c>
      <c r="D8" s="151">
        <f>'P&amp;L source'!D25/'BS source'!D24</f>
        <v>-0.24711316397228639</v>
      </c>
      <c r="E8" s="151">
        <f>'P&amp;L source'!E25/'BS source'!E24</f>
        <v>4.6445520464455207E-2</v>
      </c>
      <c r="F8" s="151">
        <f>'P&amp;L source'!F25/'BS source'!F24</f>
        <v>8.0955140836907385E-2</v>
      </c>
      <c r="G8" s="151">
        <f>'P&amp;L source'!G25/'BS source'!G24</f>
        <v>8.9142356694538863E-2</v>
      </c>
      <c r="H8" s="151">
        <f>'P&amp;L source'!H25/'BS source'!H24</f>
        <v>9.3573107182997856E-2</v>
      </c>
      <c r="I8" s="16">
        <f>SUMIF(Assumptions!$B:$B,Ratios!$B8,Assumptions!F:F)</f>
        <v>0</v>
      </c>
      <c r="J8" s="225" t="s">
        <v>363</v>
      </c>
      <c r="K8" s="225"/>
      <c r="L8" s="225"/>
      <c r="M8" s="225"/>
      <c r="N8" s="225"/>
    </row>
    <row r="9" spans="2:15" ht="13" thickBot="1" x14ac:dyDescent="0.2">
      <c r="B9" s="104" t="s">
        <v>337</v>
      </c>
      <c r="C9" s="104" t="s">
        <v>351</v>
      </c>
      <c r="D9" s="151">
        <f>'P&amp;L source'!D25/'BS source'!L22</f>
        <v>-0.83961886460084878</v>
      </c>
      <c r="E9" s="151">
        <f>'P&amp;L source'!E25/'BS source'!M22</f>
        <v>0.12612848357974618</v>
      </c>
      <c r="F9" s="151">
        <f>'P&amp;L source'!F25/'BS source'!N22</f>
        <v>0.19411862805047528</v>
      </c>
      <c r="G9" s="151">
        <f>'P&amp;L source'!G25/'BS source'!O22</f>
        <v>0.20014981974811555</v>
      </c>
      <c r="H9" s="151">
        <f>'P&amp;L source'!H25/'BS source'!P22</f>
        <v>0.20487695749440715</v>
      </c>
      <c r="I9" s="16">
        <f>SUMIF(Assumptions!$B:$B,Ratios!$B9,Assumptions!F:F)</f>
        <v>0</v>
      </c>
      <c r="J9" s="225"/>
      <c r="K9" s="225"/>
      <c r="L9" s="225"/>
      <c r="M9" s="225"/>
      <c r="N9" s="225"/>
    </row>
    <row r="10" spans="2:15" x14ac:dyDescent="0.15">
      <c r="B10" s="223" t="s">
        <v>338</v>
      </c>
      <c r="C10" s="223"/>
      <c r="D10" s="224"/>
      <c r="E10" s="224"/>
      <c r="F10" s="224"/>
      <c r="G10" s="224"/>
      <c r="H10" s="224"/>
      <c r="I10" s="103">
        <f t="shared" ref="I10" si="1">I6+SUM(I8:I9)</f>
        <v>0</v>
      </c>
      <c r="J10" s="103"/>
      <c r="K10" s="103"/>
      <c r="L10" s="103"/>
      <c r="M10" s="103"/>
      <c r="N10" s="103"/>
    </row>
    <row r="11" spans="2:15" ht="13" customHeight="1" x14ac:dyDescent="0.15">
      <c r="B11" s="104" t="s">
        <v>339</v>
      </c>
      <c r="C11" s="104" t="s">
        <v>352</v>
      </c>
      <c r="D11" s="104">
        <f>'P&amp;L source'!D6/'BS source'!D24</f>
        <v>0.55618136400056561</v>
      </c>
      <c r="E11" s="104">
        <f>'P&amp;L source'!E6/'BS source'!E24</f>
        <v>0.55235961552359614</v>
      </c>
      <c r="F11" s="104">
        <f>'P&amp;L source'!F6/'BS source'!F24</f>
        <v>0.65123449634867281</v>
      </c>
      <c r="G11" s="104">
        <f>'P&amp;L source'!G6/'BS source'!G24</f>
        <v>0.69093145943240819</v>
      </c>
      <c r="H11" s="104">
        <f>'P&amp;L source'!H6/'BS source'!H24</f>
        <v>0.7415755594155512</v>
      </c>
      <c r="J11" s="153" t="s">
        <v>364</v>
      </c>
      <c r="K11" s="16"/>
      <c r="L11" s="16"/>
      <c r="M11" s="16"/>
      <c r="N11" s="16"/>
    </row>
    <row r="12" spans="2:15" x14ac:dyDescent="0.15">
      <c r="B12" s="104" t="s">
        <v>340</v>
      </c>
      <c r="C12" s="104" t="s">
        <v>353</v>
      </c>
      <c r="D12" s="104">
        <f>'P&amp;L source'!D6/'BS source'!D6</f>
        <v>4.4979988564894224</v>
      </c>
      <c r="E12" s="104">
        <f>'P&amp;L source'!E6/'BS source'!E6</f>
        <v>4.3140169332079026</v>
      </c>
      <c r="F12" s="104">
        <f>'P&amp;L source'!F6/'BS source'!F6</f>
        <v>4.1517883535323676</v>
      </c>
      <c r="G12" s="104">
        <f>'P&amp;L source'!G6/'BS source'!G6</f>
        <v>4.2415514592933947</v>
      </c>
      <c r="H12" s="104">
        <f>'P&amp;L source'!H6/'BS source'!H6</f>
        <v>4.5298963924603672</v>
      </c>
      <c r="I12" s="16">
        <f>SUMIF(Assumptions!$B:$B,Ratios!$B12,Assumptions!F:F)</f>
        <v>0</v>
      </c>
      <c r="J12" s="153" t="s">
        <v>370</v>
      </c>
      <c r="K12" s="16"/>
      <c r="L12" s="16"/>
      <c r="M12" s="16"/>
      <c r="N12" s="16"/>
    </row>
    <row r="13" spans="2:15" ht="13" thickBot="1" x14ac:dyDescent="0.2">
      <c r="B13" s="104" t="s">
        <v>341</v>
      </c>
      <c r="C13" s="104" t="s">
        <v>354</v>
      </c>
      <c r="D13" s="104">
        <f>'P&amp;L source'!D9/'BS source'!D7</f>
        <v>1.8858079904591531</v>
      </c>
      <c r="E13" s="104">
        <f>'P&amp;L source'!E9/'BS source'!E7</f>
        <v>1.8771393643031784</v>
      </c>
      <c r="F13" s="104">
        <f>'P&amp;L source'!F9/'BS source'!F7</f>
        <v>1.924731182795699</v>
      </c>
      <c r="G13" s="104">
        <f>'P&amp;L source'!G9/'BS source'!G7</f>
        <v>2.1292454980624571</v>
      </c>
      <c r="H13" s="104">
        <f>'P&amp;L source'!H9/'BS source'!H7</f>
        <v>2.5101714285714287</v>
      </c>
      <c r="J13" s="154" t="s">
        <v>371</v>
      </c>
    </row>
    <row r="14" spans="2:15" ht="13" customHeight="1" x14ac:dyDescent="0.15">
      <c r="B14" s="223" t="s">
        <v>342</v>
      </c>
      <c r="C14" s="223"/>
      <c r="D14" s="224"/>
      <c r="E14" s="224"/>
      <c r="F14" s="224"/>
      <c r="G14" s="224"/>
      <c r="H14" s="224"/>
      <c r="I14" s="16">
        <f>SUMIF(Assumptions!$B:$B,Ratios!$B14,Assumptions!F:F)</f>
        <v>0</v>
      </c>
      <c r="J14" s="16"/>
      <c r="K14" s="16"/>
      <c r="L14" s="16"/>
      <c r="M14" s="16"/>
      <c r="N14" s="16"/>
    </row>
    <row r="15" spans="2:15" x14ac:dyDescent="0.15">
      <c r="B15" s="104" t="s">
        <v>343</v>
      </c>
      <c r="C15" s="104" t="s">
        <v>355</v>
      </c>
      <c r="D15" s="104">
        <f>'BS source'!D9/'BS source'!L8</f>
        <v>1.2314364693546849</v>
      </c>
      <c r="E15" s="104">
        <f>'BS source'!E9/'BS source'!M8</f>
        <v>1.2215464813205907</v>
      </c>
      <c r="F15" s="104">
        <f>'BS source'!F9/'BS source'!N8</f>
        <v>1.2483774338492262</v>
      </c>
      <c r="G15" s="104">
        <f>'BS source'!G9/'BS source'!O8</f>
        <v>1.3227323628219485</v>
      </c>
      <c r="H15" s="104">
        <f>'BS source'!H9/'BS source'!P8</f>
        <v>1.4495355553820934</v>
      </c>
      <c r="I15" s="103">
        <f t="shared" ref="I15" si="2">I10+SUM(I12:I13)-I14</f>
        <v>0</v>
      </c>
      <c r="J15" s="225" t="s">
        <v>365</v>
      </c>
      <c r="K15" s="225"/>
      <c r="L15" s="225"/>
      <c r="M15" s="225"/>
      <c r="N15" s="103"/>
    </row>
    <row r="16" spans="2:15" ht="13" thickBot="1" x14ac:dyDescent="0.2">
      <c r="B16" s="104" t="s">
        <v>344</v>
      </c>
      <c r="C16" s="104" t="s">
        <v>356</v>
      </c>
      <c r="D16" s="11">
        <f>('BS source'!D9-'BS source'!D7)/'BS source'!L8</f>
        <v>0.91173386712420168</v>
      </c>
      <c r="E16" s="11">
        <f>('BS source'!E9-'BS source'!E7)/'BS source'!M8</f>
        <v>0.9056858770151559</v>
      </c>
      <c r="F16" s="11">
        <f>('BS source'!F9-'BS source'!F7)/'BS source'!N8</f>
        <v>0.91562656015976041</v>
      </c>
      <c r="G16" s="11">
        <f>('BS source'!G9-'BS source'!G7)/'BS source'!O8</f>
        <v>0.99522209779768567</v>
      </c>
      <c r="H16" s="11">
        <f>('BS source'!H9-'BS source'!H7)/'BS source'!P8</f>
        <v>1.1080321598626182</v>
      </c>
      <c r="I16" s="16"/>
      <c r="J16" s="225"/>
      <c r="K16" s="225"/>
      <c r="L16" s="225"/>
      <c r="M16" s="225"/>
      <c r="N16" s="16"/>
    </row>
    <row r="17" spans="2:16" ht="14" customHeight="1" x14ac:dyDescent="0.15">
      <c r="B17" s="223" t="s">
        <v>345</v>
      </c>
      <c r="C17" s="223"/>
      <c r="D17" s="224"/>
      <c r="E17" s="224"/>
      <c r="F17" s="224"/>
      <c r="G17" s="224"/>
      <c r="H17" s="224"/>
      <c r="I17" s="16">
        <f>SUMIF(Assumptions!$B:$B,Ratios!$B17,Assumptions!F:F)</f>
        <v>0</v>
      </c>
      <c r="J17" s="16"/>
      <c r="K17" s="16"/>
      <c r="L17" s="16"/>
      <c r="M17" s="16"/>
      <c r="N17" s="16"/>
    </row>
    <row r="18" spans="2:16" ht="12" customHeight="1" x14ac:dyDescent="0.15">
      <c r="B18" s="104" t="s">
        <v>357</v>
      </c>
      <c r="C18" s="104" t="s">
        <v>360</v>
      </c>
      <c r="D18" s="104">
        <f>'BS source'!L29/'BS source'!L22</f>
        <v>1.3520698214428697</v>
      </c>
      <c r="E18" s="104">
        <f>'BS source'!M29/'BS source'!M22</f>
        <v>0.92862750228967683</v>
      </c>
      <c r="F18" s="104">
        <f>'BS source'!N29/'BS source'!N22</f>
        <v>0.67963755628439604</v>
      </c>
      <c r="G18" s="104">
        <f>'BS source'!O29/'BS source'!O22</f>
        <v>0.56018540193829303</v>
      </c>
      <c r="H18" s="104">
        <f>'BS source'!P29/'BS source'!P22</f>
        <v>0.54022371364653243</v>
      </c>
      <c r="I18" s="103">
        <f t="shared" ref="I18" si="3">I15+I17</f>
        <v>0</v>
      </c>
      <c r="J18" s="152" t="s">
        <v>372</v>
      </c>
      <c r="K18" s="103"/>
      <c r="L18" s="103"/>
      <c r="M18" s="103"/>
      <c r="N18" s="103"/>
    </row>
    <row r="19" spans="2:16" ht="12" customHeight="1" x14ac:dyDescent="0.15">
      <c r="B19" s="104" t="s">
        <v>358</v>
      </c>
      <c r="C19" s="104" t="s">
        <v>361</v>
      </c>
      <c r="D19" s="104">
        <f>'P&amp;L source'!D18/'P&amp;L source'!D21</f>
        <v>-19.541740674955594</v>
      </c>
      <c r="E19" s="104">
        <f>ABS('P&amp;L source'!E18/'P&amp;L source'!E21)</f>
        <v>5.1298701298701301</v>
      </c>
      <c r="F19" s="104">
        <f>ABS('P&amp;L source'!F18/'P&amp;L source'!F21)</f>
        <v>8.4714285714285715</v>
      </c>
      <c r="G19" s="104">
        <f>ABS('P&amp;L source'!G18/'P&amp;L source'!G21)</f>
        <v>10.821073558648111</v>
      </c>
      <c r="H19" s="104">
        <f>ABS('P&amp;L source'!H18/'P&amp;L source'!H21)</f>
        <v>11.3359375</v>
      </c>
      <c r="I19" s="29"/>
      <c r="J19" s="152" t="s">
        <v>373</v>
      </c>
      <c r="K19" s="16"/>
      <c r="L19" s="16"/>
      <c r="M19" s="16"/>
      <c r="N19" s="16"/>
    </row>
    <row r="20" spans="2:16" x14ac:dyDescent="0.15">
      <c r="B20" s="104" t="s">
        <v>359</v>
      </c>
      <c r="C20" s="104" t="s">
        <v>362</v>
      </c>
      <c r="D20" s="11">
        <f>'BS source'!L22/'BS source'!D24</f>
        <v>0.29431587877645282</v>
      </c>
      <c r="E20" s="11">
        <f>'BS source'!M22/'BS source'!E24</f>
        <v>0.36823974368239742</v>
      </c>
      <c r="F20" s="11">
        <f>'BS source'!N22/'BS source'!F24</f>
        <v>0.41703952706618758</v>
      </c>
      <c r="G20" s="11">
        <f>'BS source'!O22/'BS source'!G24</f>
        <v>0.44537815126050423</v>
      </c>
      <c r="H20" s="11">
        <f>'BS source'!P22/'BS source'!H24</f>
        <v>0.45672831306835598</v>
      </c>
      <c r="I20" s="16">
        <f>SUMIF(Assumptions!$B:$B,Ratios!$B20,Assumptions!F:F)</f>
        <v>0</v>
      </c>
      <c r="J20" s="152" t="s">
        <v>366</v>
      </c>
      <c r="K20" s="16"/>
      <c r="L20" s="16"/>
      <c r="M20" s="16"/>
      <c r="N20" s="16"/>
    </row>
    <row r="21" spans="2:16" ht="13" customHeight="1" x14ac:dyDescent="0.15">
      <c r="F21" s="16"/>
      <c r="G21" s="16"/>
      <c r="H21" s="16"/>
      <c r="I21" s="16">
        <f>SUMIF(Assumptions!$B:$B,Ratios!$B21,Assumptions!F:F)</f>
        <v>0</v>
      </c>
      <c r="J21" s="16"/>
      <c r="K21" s="16"/>
      <c r="L21" s="16"/>
      <c r="M21" s="16"/>
      <c r="N21" s="16"/>
    </row>
    <row r="22" spans="2:16" x14ac:dyDescent="0.15">
      <c r="B22" s="28"/>
      <c r="C22" s="28"/>
      <c r="D22" s="28"/>
      <c r="E22" s="28"/>
      <c r="F22" s="103"/>
      <c r="G22" s="103"/>
      <c r="H22" s="103"/>
      <c r="I22" s="103">
        <f t="shared" ref="I22" si="4">I18+SUM(I20:I21)</f>
        <v>0</v>
      </c>
      <c r="J22" s="103"/>
      <c r="K22" s="103"/>
      <c r="L22" s="103"/>
      <c r="M22" s="103"/>
      <c r="N22" s="103"/>
    </row>
    <row r="23" spans="2:16" x14ac:dyDescent="0.15">
      <c r="F23" s="16"/>
      <c r="G23" s="16"/>
      <c r="H23" s="16"/>
      <c r="I23" s="16"/>
      <c r="J23" s="16"/>
      <c r="K23" s="16"/>
      <c r="L23" s="16"/>
      <c r="M23" s="16"/>
      <c r="N23" s="16"/>
    </row>
    <row r="24" spans="2:16" ht="14" customHeight="1" x14ac:dyDescent="0.15">
      <c r="F24" s="21"/>
      <c r="G24" s="21"/>
      <c r="H24" s="21"/>
      <c r="I24" s="21"/>
      <c r="J24" s="148"/>
      <c r="K24" s="148"/>
      <c r="L24" s="148"/>
      <c r="M24" s="148"/>
      <c r="N24" s="148"/>
    </row>
    <row r="25" spans="2:16" x14ac:dyDescent="0.15">
      <c r="F25" s="16"/>
      <c r="G25" s="16"/>
      <c r="H25" s="16"/>
      <c r="I25" s="16">
        <f>SUMIF(Assumptions!$B:$B,Ratios!$B25,Assumptions!F:F)</f>
        <v>0</v>
      </c>
      <c r="J25" s="16"/>
      <c r="K25" s="16"/>
      <c r="L25" s="16"/>
      <c r="M25" s="16"/>
      <c r="N25" s="16"/>
    </row>
    <row r="26" spans="2:16" x14ac:dyDescent="0.15">
      <c r="F26" s="16"/>
      <c r="G26" s="16"/>
      <c r="H26" s="16"/>
      <c r="I26" s="16"/>
    </row>
    <row r="27" spans="2:16" x14ac:dyDescent="0.15">
      <c r="B27" s="124"/>
      <c r="C27" s="124"/>
      <c r="D27" s="124"/>
      <c r="E27" s="124"/>
      <c r="F27" s="149"/>
      <c r="G27" s="149"/>
      <c r="H27" s="149"/>
      <c r="I27" s="149">
        <f t="shared" ref="I27" si="5">I22+I25</f>
        <v>0</v>
      </c>
      <c r="J27" s="149"/>
      <c r="K27" s="149"/>
      <c r="L27" s="149"/>
      <c r="M27" s="149"/>
      <c r="N27" s="149"/>
    </row>
    <row r="28" spans="2:16" x14ac:dyDescent="0.15">
      <c r="F28" s="16"/>
      <c r="G28" s="16"/>
      <c r="H28" s="16"/>
      <c r="I28" s="16"/>
    </row>
    <row r="29" spans="2:16" x14ac:dyDescent="0.15">
      <c r="F29" s="16"/>
      <c r="G29" s="16"/>
      <c r="H29" s="16"/>
      <c r="I29" s="16"/>
    </row>
    <row r="30" spans="2:16" ht="16" x14ac:dyDescent="0.2">
      <c r="B30" s="10"/>
      <c r="C30" s="10"/>
      <c r="D30" s="10"/>
      <c r="E30" s="10"/>
    </row>
    <row r="32" spans="2:16" x14ac:dyDescent="0.15">
      <c r="B32" s="28"/>
      <c r="C32" s="28"/>
      <c r="D32" s="28"/>
      <c r="E32" s="28"/>
      <c r="F32" s="14"/>
      <c r="G32" s="14"/>
      <c r="H32" s="14"/>
      <c r="I32" s="14"/>
      <c r="J32" s="14"/>
      <c r="K32" s="14"/>
      <c r="L32" s="14"/>
      <c r="M32" s="14"/>
      <c r="N32" s="14"/>
      <c r="P32" s="150"/>
    </row>
    <row r="33" spans="2:14" x14ac:dyDescent="0.15">
      <c r="F33" s="16"/>
      <c r="G33" s="16"/>
      <c r="H33" s="16"/>
      <c r="I33" s="16"/>
      <c r="J33" s="16"/>
      <c r="K33" s="16"/>
      <c r="L33" s="16"/>
      <c r="M33" s="16"/>
      <c r="N33" s="16"/>
    </row>
    <row r="34" spans="2:14" x14ac:dyDescent="0.15">
      <c r="F34" s="16"/>
      <c r="G34" s="16"/>
      <c r="H34" s="16"/>
      <c r="I34" s="16"/>
      <c r="J34" s="16"/>
      <c r="K34" s="16"/>
      <c r="L34" s="16"/>
      <c r="M34" s="16"/>
      <c r="N34" s="16"/>
    </row>
    <row r="35" spans="2:14" x14ac:dyDescent="0.15">
      <c r="F35" s="16"/>
      <c r="G35" s="16"/>
      <c r="H35" s="16"/>
      <c r="I35" s="16"/>
      <c r="J35" s="16"/>
      <c r="K35" s="16"/>
      <c r="L35" s="16"/>
      <c r="M35" s="16"/>
      <c r="N35" s="16"/>
    </row>
    <row r="36" spans="2:14" x14ac:dyDescent="0.15">
      <c r="F36" s="16"/>
      <c r="G36" s="16"/>
      <c r="H36" s="16"/>
      <c r="I36" s="16"/>
      <c r="J36" s="16"/>
      <c r="K36" s="16"/>
      <c r="L36" s="16"/>
      <c r="M36" s="16"/>
      <c r="N36" s="16"/>
    </row>
    <row r="37" spans="2:14" x14ac:dyDescent="0.15">
      <c r="F37" s="16"/>
      <c r="G37" s="16"/>
      <c r="H37" s="16"/>
      <c r="J37" s="16"/>
      <c r="K37" s="16"/>
      <c r="L37" s="16"/>
      <c r="M37" s="16"/>
      <c r="N37" s="16"/>
    </row>
    <row r="38" spans="2:14" x14ac:dyDescent="0.15">
      <c r="F38" s="16"/>
      <c r="G38" s="16"/>
      <c r="H38" s="16"/>
      <c r="I38" s="16"/>
      <c r="J38" s="16"/>
      <c r="K38" s="16"/>
      <c r="L38" s="16"/>
      <c r="M38" s="16"/>
      <c r="N38" s="16"/>
    </row>
    <row r="39" spans="2:14" x14ac:dyDescent="0.15">
      <c r="F39" s="16"/>
      <c r="G39" s="16"/>
      <c r="H39" s="16"/>
      <c r="J39" s="16"/>
      <c r="K39" s="16"/>
      <c r="L39" s="16"/>
      <c r="M39" s="16"/>
      <c r="N39" s="16"/>
    </row>
    <row r="40" spans="2:14" x14ac:dyDescent="0.15">
      <c r="F40" s="16"/>
      <c r="G40" s="16"/>
      <c r="H40" s="16"/>
      <c r="J40" s="16"/>
      <c r="K40" s="16"/>
      <c r="L40" s="16"/>
      <c r="M40" s="16"/>
      <c r="N40" s="16"/>
    </row>
    <row r="41" spans="2:14" x14ac:dyDescent="0.15">
      <c r="F41" s="16"/>
      <c r="G41" s="16"/>
      <c r="H41" s="16"/>
      <c r="J41" s="16"/>
      <c r="K41" s="16"/>
      <c r="L41" s="16"/>
      <c r="M41" s="16"/>
      <c r="N41" s="16"/>
    </row>
    <row r="42" spans="2:14" x14ac:dyDescent="0.15">
      <c r="J42" s="16"/>
      <c r="K42" s="16"/>
      <c r="L42" s="16"/>
      <c r="M42" s="16"/>
      <c r="N42" s="16"/>
    </row>
    <row r="43" spans="2:14" x14ac:dyDescent="0.15">
      <c r="B43" s="28"/>
      <c r="C43" s="28"/>
      <c r="D43" s="28"/>
      <c r="E43" s="28"/>
      <c r="F43" s="103"/>
      <c r="G43" s="103"/>
      <c r="H43" s="103"/>
      <c r="I43" s="103"/>
      <c r="J43" s="103"/>
      <c r="K43" s="103"/>
      <c r="L43" s="103"/>
      <c r="M43" s="103"/>
      <c r="N43" s="103"/>
    </row>
    <row r="44" spans="2:14" x14ac:dyDescent="0.15">
      <c r="F44" s="16"/>
      <c r="G44" s="16"/>
      <c r="H44" s="16"/>
      <c r="I44" s="16"/>
      <c r="J44" s="16"/>
      <c r="K44" s="16"/>
      <c r="L44" s="16"/>
      <c r="M44" s="16"/>
      <c r="N44" s="16"/>
    </row>
    <row r="45" spans="2:14" x14ac:dyDescent="0.15">
      <c r="F45" s="16"/>
      <c r="G45" s="16"/>
      <c r="H45" s="16"/>
      <c r="I45" s="16"/>
      <c r="J45" s="16"/>
      <c r="K45" s="16"/>
      <c r="L45" s="16"/>
      <c r="M45" s="16"/>
      <c r="N45" s="16"/>
    </row>
    <row r="46" spans="2:14" x14ac:dyDescent="0.15">
      <c r="F46" s="16"/>
      <c r="G46" s="16"/>
      <c r="H46" s="16"/>
      <c r="I46" s="16"/>
      <c r="J46" s="16"/>
      <c r="K46" s="16"/>
      <c r="L46" s="16"/>
      <c r="M46" s="16"/>
      <c r="N46" s="16"/>
    </row>
    <row r="47" spans="2:14" x14ac:dyDescent="0.15">
      <c r="F47" s="16"/>
      <c r="G47" s="16"/>
      <c r="H47" s="16"/>
      <c r="I47" s="16"/>
      <c r="J47" s="16"/>
      <c r="K47" s="16"/>
      <c r="L47" s="16"/>
      <c r="M47" s="16"/>
      <c r="N47" s="16"/>
    </row>
    <row r="48" spans="2:14" x14ac:dyDescent="0.15">
      <c r="F48" s="16"/>
      <c r="G48" s="16"/>
      <c r="H48" s="16"/>
      <c r="I48" s="16"/>
      <c r="J48" s="16"/>
      <c r="K48" s="16"/>
      <c r="L48" s="16"/>
      <c r="M48" s="16"/>
      <c r="N48" s="16"/>
    </row>
    <row r="49" spans="2:14" x14ac:dyDescent="0.15">
      <c r="F49" s="16"/>
      <c r="G49" s="16"/>
      <c r="H49" s="16"/>
      <c r="I49" s="16"/>
      <c r="J49" s="16"/>
      <c r="K49" s="16"/>
      <c r="L49" s="16"/>
      <c r="M49" s="16"/>
      <c r="N49" s="16"/>
    </row>
    <row r="50" spans="2:14" x14ac:dyDescent="0.15">
      <c r="F50" s="16"/>
      <c r="G50" s="16"/>
      <c r="H50" s="16"/>
      <c r="I50" s="16"/>
      <c r="J50" s="16"/>
      <c r="K50" s="16"/>
      <c r="L50" s="16"/>
      <c r="M50" s="16"/>
      <c r="N50" s="16"/>
    </row>
    <row r="53" spans="2:14" x14ac:dyDescent="0.15">
      <c r="F53" s="16"/>
      <c r="G53" s="16"/>
      <c r="H53" s="16"/>
      <c r="I53" s="16"/>
      <c r="J53" s="16"/>
      <c r="K53" s="16"/>
      <c r="L53" s="16"/>
      <c r="M53" s="16"/>
      <c r="N53" s="16"/>
    </row>
    <row r="54" spans="2:14" x14ac:dyDescent="0.15">
      <c r="F54" s="16"/>
      <c r="G54" s="16"/>
      <c r="H54" s="16"/>
      <c r="I54" s="16"/>
      <c r="J54" s="16"/>
      <c r="K54" s="16"/>
      <c r="L54" s="16"/>
      <c r="M54" s="16"/>
      <c r="N54" s="16"/>
    </row>
    <row r="55" spans="2:14" x14ac:dyDescent="0.15">
      <c r="B55" s="28"/>
      <c r="C55" s="28"/>
      <c r="D55" s="28"/>
      <c r="E55" s="28"/>
      <c r="F55" s="103"/>
      <c r="G55" s="103"/>
      <c r="H55" s="103"/>
      <c r="I55" s="103"/>
      <c r="J55" s="103"/>
      <c r="K55" s="103"/>
      <c r="L55" s="103"/>
      <c r="M55" s="103"/>
      <c r="N55" s="103"/>
    </row>
    <row r="56" spans="2:14" x14ac:dyDescent="0.15">
      <c r="J56" s="16"/>
      <c r="K56" s="16"/>
      <c r="L56" s="16"/>
      <c r="M56" s="16"/>
      <c r="N56" s="16"/>
    </row>
  </sheetData>
  <mergeCells count="6">
    <mergeCell ref="B4:H4"/>
    <mergeCell ref="B10:H10"/>
    <mergeCell ref="B14:H14"/>
    <mergeCell ref="B17:H17"/>
    <mergeCell ref="J8:N9"/>
    <mergeCell ref="J15:M16"/>
  </mergeCells>
  <conditionalFormatting sqref="D5:H5">
    <cfRule type="dataBar" priority="18">
      <dataBar>
        <cfvo type="min"/>
        <cfvo type="max"/>
        <color theme="9"/>
      </dataBar>
      <extLst>
        <ext xmlns:x14="http://schemas.microsoft.com/office/spreadsheetml/2009/9/main" uri="{B025F937-C7B1-47D3-B67F-A62EFF666E3E}">
          <x14:id>{6AD19990-AF7F-E644-85BE-CD74DA4E4BB5}</x14:id>
        </ext>
      </extLst>
    </cfRule>
  </conditionalFormatting>
  <conditionalFormatting sqref="D5:H9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{4FDF40C1-0BC3-6442-A773-FF95C9BB7700}</x14:id>
        </ext>
      </extLst>
    </cfRule>
  </conditionalFormatting>
  <conditionalFormatting sqref="D11:H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{03062E12-1370-EE4E-A520-566F91F0C14C}</x14:id>
        </ext>
      </extLst>
    </cfRule>
  </conditionalFormatting>
  <conditionalFormatting sqref="D12:H1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3:H1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5:H16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8:H18">
    <cfRule type="colorScale" priority="6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D19:H19">
    <cfRule type="colorScale" priority="5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D20:H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{8CF2C77B-ED31-B842-AB19-718E63D282CC}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D19990-AF7F-E644-85BE-CD74DA4E4B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D5:H5</xm:sqref>
        </x14:conditionalFormatting>
        <x14:conditionalFormatting xmlns:xm="http://schemas.microsoft.com/office/excel/2006/main">
          <x14:cfRule type="dataBar" id="{4FDF40C1-0BC3-6442-A773-FF95C9BB77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D5:H9</xm:sqref>
        </x14:conditionalFormatting>
        <x14:conditionalFormatting xmlns:xm="http://schemas.microsoft.com/office/excel/2006/main">
          <x14:cfRule type="dataBar" id="{03062E12-1370-EE4E-A520-566F91F0C1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D11:H11</xm:sqref>
        </x14:conditionalFormatting>
        <x14:conditionalFormatting xmlns:xm="http://schemas.microsoft.com/office/excel/2006/main">
          <x14:cfRule type="dataBar" id="{8CF2C77B-ED31-B842-AB19-718E63D282C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D20:H20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4E03-112A-6B4E-A72E-E92163C1FFC3}">
  <sheetPr>
    <tabColor rgb="FF002060"/>
  </sheetPr>
  <dimension ref="B1:B11"/>
  <sheetViews>
    <sheetView zoomScale="130" zoomScaleNormal="130" workbookViewId="0">
      <selection activeCell="B12" sqref="B12"/>
    </sheetView>
  </sheetViews>
  <sheetFormatPr baseColWidth="10" defaultColWidth="9.1640625" defaultRowHeight="12" x14ac:dyDescent="0.15"/>
  <cols>
    <col min="1" max="1" width="2" style="2" customWidth="1"/>
    <col min="2" max="16384" width="9.1640625" style="2"/>
  </cols>
  <sheetData>
    <row r="1" spans="2:2" ht="16" x14ac:dyDescent="0.2">
      <c r="B1" s="1"/>
    </row>
    <row r="11" spans="2:2" ht="40" x14ac:dyDescent="0.4">
      <c r="B11" s="9" t="s">
        <v>317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70E3-2E7C-AF49-809C-E22953FAA43F}">
  <dimension ref="A1:W157"/>
  <sheetViews>
    <sheetView zoomScale="111" zoomScaleNormal="130" workbookViewId="0">
      <pane ySplit="5" topLeftCell="A6" activePane="bottomLeft" state="frozen"/>
      <selection pane="bottomLeft" activeCell="D12" sqref="D12"/>
    </sheetView>
  </sheetViews>
  <sheetFormatPr baseColWidth="10" defaultColWidth="9.1640625" defaultRowHeight="12" x14ac:dyDescent="0.15"/>
  <cols>
    <col min="1" max="1" width="2" style="11" customWidth="1"/>
    <col min="2" max="2" width="37.6640625" style="11" customWidth="1"/>
    <col min="3" max="3" width="10.5" style="11" bestFit="1" customWidth="1"/>
    <col min="4" max="5" width="9.1640625" style="11"/>
    <col min="6" max="6" width="2" style="11" customWidth="1"/>
    <col min="7" max="7" width="11" style="11" bestFit="1" customWidth="1"/>
    <col min="8" max="11" width="10.5" style="11" bestFit="1" customWidth="1"/>
    <col min="12" max="12" width="9.1640625" style="11" customWidth="1"/>
    <col min="13" max="13" width="51" style="11" bestFit="1" customWidth="1"/>
    <col min="14" max="16384" width="9.1640625" style="11"/>
  </cols>
  <sheetData>
    <row r="1" spans="1:16" ht="16" x14ac:dyDescent="0.2">
      <c r="A1" s="2"/>
      <c r="B1" s="10" t="s">
        <v>4</v>
      </c>
    </row>
    <row r="2" spans="1:16" x14ac:dyDescent="0.15">
      <c r="G2" s="11" t="s">
        <v>15</v>
      </c>
    </row>
    <row r="3" spans="1:16" x14ac:dyDescent="0.15">
      <c r="G3" s="11" t="s">
        <v>16</v>
      </c>
      <c r="H3" s="11" t="s">
        <v>167</v>
      </c>
    </row>
    <row r="4" spans="1:16" x14ac:dyDescent="0.15">
      <c r="G4" s="11" t="s">
        <v>17</v>
      </c>
      <c r="H4" s="11" t="s">
        <v>168</v>
      </c>
    </row>
    <row r="5" spans="1:16" x14ac:dyDescent="0.15">
      <c r="B5" s="11" t="s">
        <v>18</v>
      </c>
      <c r="C5" s="6">
        <v>2</v>
      </c>
      <c r="G5" s="11" t="s">
        <v>19</v>
      </c>
      <c r="H5" s="11" t="s">
        <v>169</v>
      </c>
    </row>
    <row r="6" spans="1:16" ht="27" thickBot="1" x14ac:dyDescent="0.2">
      <c r="B6" s="12" t="s">
        <v>99</v>
      </c>
      <c r="C6" s="13" t="s">
        <v>181</v>
      </c>
      <c r="D6" s="13" t="s">
        <v>182</v>
      </c>
      <c r="E6" s="13" t="s">
        <v>183</v>
      </c>
      <c r="F6" s="14"/>
      <c r="G6" s="15" t="s">
        <v>184</v>
      </c>
      <c r="H6" s="15" t="s">
        <v>185</v>
      </c>
      <c r="I6" s="15" t="s">
        <v>186</v>
      </c>
      <c r="J6" s="15" t="s">
        <v>187</v>
      </c>
      <c r="K6" s="15" t="s">
        <v>188</v>
      </c>
    </row>
    <row r="7" spans="1:16" ht="17" customHeight="1" x14ac:dyDescent="0.15">
      <c r="B7" s="75" t="s">
        <v>172</v>
      </c>
      <c r="C7" s="76">
        <f>'P&amp;L source'!F4</f>
        <v>19552</v>
      </c>
      <c r="D7" s="76">
        <f>'P&amp;L source'!G4</f>
        <v>22439</v>
      </c>
      <c r="E7" s="76">
        <f>'P&amp;L source'!H4</f>
        <v>23297</v>
      </c>
      <c r="F7" s="75"/>
      <c r="G7" s="87">
        <f>E7*(1+G8)</f>
        <v>24345.364999999998</v>
      </c>
      <c r="H7" s="87">
        <f>G7*(1+H8)</f>
        <v>25440.906424999997</v>
      </c>
      <c r="I7" s="87">
        <f>H7*(1+I8)</f>
        <v>26585.747214124996</v>
      </c>
      <c r="J7" s="87">
        <f>I7*(1+J8)</f>
        <v>27782.105838760621</v>
      </c>
      <c r="K7" s="87">
        <f>J7*(1+K8)</f>
        <v>29032.300601504849</v>
      </c>
    </row>
    <row r="8" spans="1:16" x14ac:dyDescent="0.15">
      <c r="B8" s="64" t="s">
        <v>21</v>
      </c>
      <c r="C8" s="85">
        <v>0</v>
      </c>
      <c r="D8" s="86">
        <f>D7/C7-1</f>
        <v>0.14765752864157111</v>
      </c>
      <c r="E8" s="86">
        <f>E7/D7-1</f>
        <v>3.823699808369363E-2</v>
      </c>
      <c r="F8" s="64"/>
      <c r="G8" s="88">
        <f>CHOOSE($C$5,G9,G10,G11)</f>
        <v>4.4999999999999998E-2</v>
      </c>
      <c r="H8" s="88">
        <f t="shared" ref="H8:K8" si="0">CHOOSE($C$5,H9,H10,H11)</f>
        <v>4.4999999999999998E-2</v>
      </c>
      <c r="I8" s="88">
        <f t="shared" si="0"/>
        <v>4.4999999999999998E-2</v>
      </c>
      <c r="J8" s="88">
        <f t="shared" si="0"/>
        <v>4.4999999999999998E-2</v>
      </c>
      <c r="K8" s="88">
        <f t="shared" si="0"/>
        <v>4.4999999999999998E-2</v>
      </c>
    </row>
    <row r="9" spans="1:16" ht="13" x14ac:dyDescent="0.15">
      <c r="B9" s="11" t="s">
        <v>16</v>
      </c>
      <c r="C9" s="20"/>
      <c r="D9" s="20"/>
      <c r="E9" s="20"/>
      <c r="G9" s="50">
        <v>7.0000000000000007E-2</v>
      </c>
      <c r="H9" s="50">
        <v>7.0000000000000007E-2</v>
      </c>
      <c r="I9" s="50">
        <v>7.0000000000000007E-2</v>
      </c>
      <c r="J9" s="50">
        <v>7.0000000000000007E-2</v>
      </c>
      <c r="K9" s="50">
        <v>7.0000000000000007E-2</v>
      </c>
      <c r="M9" s="89" t="s">
        <v>191</v>
      </c>
      <c r="N9" s="90" t="s">
        <v>23</v>
      </c>
      <c r="O9" s="90" t="s">
        <v>24</v>
      </c>
      <c r="P9" s="90" t="s">
        <v>25</v>
      </c>
    </row>
    <row r="10" spans="1:16" x14ac:dyDescent="0.15">
      <c r="B10" s="11" t="s">
        <v>17</v>
      </c>
      <c r="C10" s="20"/>
      <c r="D10" s="20"/>
      <c r="E10" s="20"/>
      <c r="G10" s="50">
        <v>4.4999999999999998E-2</v>
      </c>
      <c r="H10" s="50">
        <v>4.4999999999999998E-2</v>
      </c>
      <c r="I10" s="50">
        <v>4.4999999999999998E-2</v>
      </c>
      <c r="J10" s="50">
        <v>4.4999999999999998E-2</v>
      </c>
      <c r="K10" s="50">
        <v>4.4999999999999998E-2</v>
      </c>
      <c r="M10" s="227" t="s">
        <v>192</v>
      </c>
      <c r="N10" s="228"/>
      <c r="O10" s="228"/>
      <c r="P10" s="228"/>
    </row>
    <row r="11" spans="1:16" x14ac:dyDescent="0.15">
      <c r="B11" s="11" t="s">
        <v>19</v>
      </c>
      <c r="C11" s="20"/>
      <c r="D11" s="20"/>
      <c r="E11" s="20"/>
      <c r="G11" s="50">
        <v>0.02</v>
      </c>
      <c r="H11" s="50">
        <v>0.02</v>
      </c>
      <c r="I11" s="50">
        <v>0.02</v>
      </c>
      <c r="J11" s="50">
        <v>0.02</v>
      </c>
      <c r="K11" s="50">
        <v>0.02</v>
      </c>
      <c r="M11" s="91" t="s">
        <v>195</v>
      </c>
      <c r="N11" s="92">
        <v>7.0000000000000007E-2</v>
      </c>
      <c r="O11" s="92">
        <v>4.4999999999999998E-2</v>
      </c>
      <c r="P11" s="92">
        <v>0.02</v>
      </c>
    </row>
    <row r="12" spans="1:16" x14ac:dyDescent="0.15">
      <c r="G12" s="17"/>
      <c r="H12" s="17"/>
      <c r="I12" s="17"/>
      <c r="J12" s="17"/>
      <c r="K12" s="17"/>
      <c r="M12" s="91" t="s">
        <v>196</v>
      </c>
      <c r="N12" s="108">
        <v>0.1</v>
      </c>
      <c r="O12" s="108">
        <v>0.06</v>
      </c>
      <c r="P12" s="108">
        <v>0.03</v>
      </c>
    </row>
    <row r="13" spans="1:16" x14ac:dyDescent="0.15">
      <c r="B13" s="75" t="s">
        <v>173</v>
      </c>
      <c r="C13" s="76">
        <f>'P&amp;L source'!F5</f>
        <v>8539</v>
      </c>
      <c r="D13" s="76">
        <f>'P&amp;L source'!G5</f>
        <v>10696</v>
      </c>
      <c r="E13" s="76">
        <f>'P&amp;L source'!H5</f>
        <v>12992</v>
      </c>
      <c r="F13" s="75"/>
      <c r="G13" s="87">
        <f>E13*(1+G14)</f>
        <v>13771.52</v>
      </c>
      <c r="H13" s="87">
        <f>G13*(1+H14)</f>
        <v>14597.811200000002</v>
      </c>
      <c r="I13" s="87">
        <f>H13*(1+I14)</f>
        <v>15473.679872000002</v>
      </c>
      <c r="J13" s="87">
        <f>I13*(1+J14)</f>
        <v>16402.100664320002</v>
      </c>
      <c r="K13" s="87">
        <f>J13*(1+K14)</f>
        <v>17386.226704179204</v>
      </c>
      <c r="M13" s="91" t="s">
        <v>197</v>
      </c>
      <c r="N13" s="92">
        <v>0.75</v>
      </c>
      <c r="O13" s="92">
        <v>0.76500000000000001</v>
      </c>
      <c r="P13" s="92">
        <v>0.78</v>
      </c>
    </row>
    <row r="14" spans="1:16" ht="11" customHeight="1" x14ac:dyDescent="0.15">
      <c r="B14" s="64" t="s">
        <v>22</v>
      </c>
      <c r="C14" s="85">
        <v>0</v>
      </c>
      <c r="D14" s="86">
        <f>D13/C13-1</f>
        <v>0.25260569153296641</v>
      </c>
      <c r="E14" s="86">
        <f>E13/D13-1</f>
        <v>0.21465968586387429</v>
      </c>
      <c r="F14" s="64"/>
      <c r="G14" s="88">
        <f>CHOOSE($C$5,G15,G16,G17)</f>
        <v>0.06</v>
      </c>
      <c r="H14" s="88">
        <f t="shared" ref="H14" si="1">CHOOSE($C$5,H15,H16,H17)</f>
        <v>0.06</v>
      </c>
      <c r="I14" s="88">
        <f t="shared" ref="I14" si="2">CHOOSE($C$5,I15,I16,I17)</f>
        <v>0.06</v>
      </c>
      <c r="J14" s="88">
        <f t="shared" ref="J14" si="3">CHOOSE($C$5,J15,J16,J17)</f>
        <v>0.06</v>
      </c>
      <c r="K14" s="88">
        <f t="shared" ref="K14" si="4">CHOOSE($C$5,K15,K16,K17)</f>
        <v>0.06</v>
      </c>
      <c r="M14" s="94" t="s">
        <v>198</v>
      </c>
      <c r="N14" s="108">
        <v>0.84</v>
      </c>
      <c r="O14" s="108">
        <v>0.85</v>
      </c>
      <c r="P14" s="108">
        <v>0.86</v>
      </c>
    </row>
    <row r="15" spans="1:16" x14ac:dyDescent="0.15">
      <c r="B15" s="11" t="s">
        <v>23</v>
      </c>
      <c r="C15" s="20"/>
      <c r="D15" s="20"/>
      <c r="E15" s="20"/>
      <c r="G15" s="50">
        <v>0.1</v>
      </c>
      <c r="H15" s="50">
        <v>0.1</v>
      </c>
      <c r="I15" s="50">
        <v>0.1</v>
      </c>
      <c r="J15" s="50">
        <v>0.1</v>
      </c>
      <c r="K15" s="50">
        <v>0.1</v>
      </c>
      <c r="M15" s="98" t="s">
        <v>203</v>
      </c>
      <c r="N15" s="92">
        <v>0.03</v>
      </c>
      <c r="O15" s="92">
        <v>3.2000000000000001E-2</v>
      </c>
      <c r="P15" s="92">
        <v>3.5000000000000003E-2</v>
      </c>
    </row>
    <row r="16" spans="1:16" x14ac:dyDescent="0.15">
      <c r="B16" s="11" t="s">
        <v>24</v>
      </c>
      <c r="C16" s="20"/>
      <c r="D16" s="20"/>
      <c r="E16" s="20"/>
      <c r="G16" s="50">
        <v>0.06</v>
      </c>
      <c r="H16" s="50">
        <v>0.06</v>
      </c>
      <c r="I16" s="50">
        <v>0.06</v>
      </c>
      <c r="J16" s="50">
        <v>0.06</v>
      </c>
      <c r="K16" s="50">
        <v>0.06</v>
      </c>
      <c r="M16" s="91" t="s">
        <v>199</v>
      </c>
      <c r="N16" s="92">
        <v>6.7000000000000004E-2</v>
      </c>
      <c r="O16" s="92">
        <v>7.0000000000000007E-2</v>
      </c>
      <c r="P16" s="92">
        <v>7.1999999999999995E-2</v>
      </c>
    </row>
    <row r="17" spans="2:21" x14ac:dyDescent="0.15">
      <c r="B17" s="11" t="s">
        <v>25</v>
      </c>
      <c r="C17" s="20"/>
      <c r="D17" s="20"/>
      <c r="E17" s="20"/>
      <c r="G17" s="50">
        <v>0.03</v>
      </c>
      <c r="H17" s="50">
        <v>0.03</v>
      </c>
      <c r="I17" s="50">
        <v>0.03</v>
      </c>
      <c r="J17" s="50">
        <v>0.03</v>
      </c>
      <c r="K17" s="50">
        <v>0.03</v>
      </c>
      <c r="M17" s="91" t="s">
        <v>200</v>
      </c>
      <c r="N17" s="92">
        <v>0.02</v>
      </c>
      <c r="O17" s="92">
        <v>1.4999999999999999E-2</v>
      </c>
      <c r="P17" s="92">
        <v>0.01</v>
      </c>
    </row>
    <row r="18" spans="2:21" x14ac:dyDescent="0.15">
      <c r="C18" s="16"/>
      <c r="D18" s="16"/>
      <c r="E18" s="16"/>
      <c r="G18" s="17"/>
      <c r="H18" s="17"/>
      <c r="I18" s="17"/>
      <c r="J18" s="17"/>
      <c r="K18" s="17"/>
      <c r="M18" s="91" t="s">
        <v>201</v>
      </c>
      <c r="N18" s="92">
        <v>4.1000000000000002E-2</v>
      </c>
      <c r="O18" s="92">
        <v>4.2999999999999997E-2</v>
      </c>
      <c r="P18" s="92">
        <v>4.7E-2</v>
      </c>
    </row>
    <row r="19" spans="2:21" x14ac:dyDescent="0.15">
      <c r="B19" s="75" t="s">
        <v>82</v>
      </c>
      <c r="C19" s="76">
        <f>-'P&amp;L source'!F8</f>
        <v>-15233</v>
      </c>
      <c r="D19" s="76">
        <f>-'P&amp;L source'!G8</f>
        <v>-17231</v>
      </c>
      <c r="E19" s="76">
        <f>-'P&amp;L source'!H8</f>
        <v>-17847</v>
      </c>
      <c r="F19" s="75"/>
      <c r="G19" s="95">
        <f>-G20*G7</f>
        <v>-18624.204224999998</v>
      </c>
      <c r="H19" s="95">
        <f t="shared" ref="H19:K19" si="5">-H20*H7</f>
        <v>-19462.293415124997</v>
      </c>
      <c r="I19" s="95">
        <f t="shared" si="5"/>
        <v>-20338.096618805623</v>
      </c>
      <c r="J19" s="95">
        <f t="shared" si="5"/>
        <v>-21253.310966651876</v>
      </c>
      <c r="K19" s="95">
        <f t="shared" si="5"/>
        <v>-22209.709960151209</v>
      </c>
      <c r="M19" s="91" t="s">
        <v>202</v>
      </c>
      <c r="N19" s="108">
        <v>0.18</v>
      </c>
      <c r="O19" s="108">
        <v>0.2</v>
      </c>
      <c r="P19" s="108">
        <v>0.22</v>
      </c>
    </row>
    <row r="20" spans="2:21" ht="12" customHeight="1" x14ac:dyDescent="0.15">
      <c r="B20" s="64" t="s">
        <v>174</v>
      </c>
      <c r="C20" s="96">
        <f>ABS(C19/C7)</f>
        <v>0.77910188216039278</v>
      </c>
      <c r="D20" s="96">
        <f t="shared" ref="D20:E20" si="6">ABS(D19/D7)</f>
        <v>0.76790409554792993</v>
      </c>
      <c r="E20" s="96">
        <f t="shared" si="6"/>
        <v>0.76606430012447957</v>
      </c>
      <c r="F20" s="64"/>
      <c r="G20" s="88">
        <f>CHOOSE($C$5,G21,G22,G23)</f>
        <v>0.76500000000000001</v>
      </c>
      <c r="H20" s="88">
        <f t="shared" ref="H20" si="7">CHOOSE($C$5,H21,H22,H23)</f>
        <v>0.76500000000000001</v>
      </c>
      <c r="I20" s="88">
        <f t="shared" ref="I20" si="8">CHOOSE($C$5,I21,I22,I23)</f>
        <v>0.76500000000000001</v>
      </c>
      <c r="J20" s="88">
        <f t="shared" ref="J20" si="9">CHOOSE($C$5,J21,J22,J23)</f>
        <v>0.76500000000000001</v>
      </c>
      <c r="K20" s="88">
        <f t="shared" ref="K20" si="10">CHOOSE($C$5,K21,K22,K23)</f>
        <v>0.76500000000000001</v>
      </c>
      <c r="M20" s="227" t="s">
        <v>204</v>
      </c>
      <c r="N20" s="228"/>
      <c r="O20" s="228"/>
      <c r="P20" s="228"/>
      <c r="R20" s="28"/>
      <c r="S20" s="14"/>
      <c r="T20" s="14"/>
      <c r="U20" s="14"/>
    </row>
    <row r="21" spans="2:21" x14ac:dyDescent="0.15">
      <c r="B21" s="11" t="s">
        <v>23</v>
      </c>
      <c r="C21" s="20"/>
      <c r="D21" s="20"/>
      <c r="E21" s="20"/>
      <c r="G21" s="50">
        <v>0.75</v>
      </c>
      <c r="H21" s="50">
        <v>0.75</v>
      </c>
      <c r="I21" s="50">
        <v>0.75</v>
      </c>
      <c r="J21" s="50">
        <v>0.75</v>
      </c>
      <c r="K21" s="50">
        <v>0.75</v>
      </c>
      <c r="M21" s="98" t="s">
        <v>238</v>
      </c>
      <c r="N21" s="107">
        <v>122</v>
      </c>
      <c r="O21" s="107">
        <v>125</v>
      </c>
      <c r="P21" s="107">
        <v>130</v>
      </c>
      <c r="R21" s="75"/>
      <c r="S21" s="76"/>
      <c r="T21" s="76"/>
      <c r="U21" s="76"/>
    </row>
    <row r="22" spans="2:21" x14ac:dyDescent="0.15">
      <c r="B22" s="11" t="s">
        <v>24</v>
      </c>
      <c r="C22" s="20"/>
      <c r="D22" s="20"/>
      <c r="E22" s="20"/>
      <c r="G22" s="50">
        <v>0.76500000000000001</v>
      </c>
      <c r="H22" s="50">
        <v>0.76500000000000001</v>
      </c>
      <c r="I22" s="50">
        <v>0.76500000000000001</v>
      </c>
      <c r="J22" s="50">
        <v>0.76500000000000001</v>
      </c>
      <c r="K22" s="50">
        <v>0.76500000000000001</v>
      </c>
      <c r="M22" s="98" t="s">
        <v>239</v>
      </c>
      <c r="N22" s="108">
        <v>0.35</v>
      </c>
      <c r="O22" s="108">
        <v>0.3</v>
      </c>
      <c r="P22" s="108">
        <v>0.25</v>
      </c>
      <c r="R22" s="22"/>
      <c r="S22" s="105"/>
      <c r="T22" s="105"/>
      <c r="U22" s="105"/>
    </row>
    <row r="23" spans="2:21" x14ac:dyDescent="0.15">
      <c r="B23" s="11" t="s">
        <v>25</v>
      </c>
      <c r="C23" s="20"/>
      <c r="D23" s="20"/>
      <c r="E23" s="20"/>
      <c r="G23" s="50">
        <v>0.78</v>
      </c>
      <c r="H23" s="50">
        <v>0.78</v>
      </c>
      <c r="I23" s="50">
        <v>0.78</v>
      </c>
      <c r="J23" s="50">
        <v>0.78</v>
      </c>
      <c r="K23" s="50">
        <v>0.78</v>
      </c>
      <c r="M23" s="98" t="s">
        <v>240</v>
      </c>
      <c r="N23" s="107">
        <v>140</v>
      </c>
      <c r="O23" s="107">
        <v>150</v>
      </c>
      <c r="P23" s="107">
        <v>160</v>
      </c>
      <c r="R23" s="75"/>
      <c r="S23" s="76"/>
      <c r="T23" s="76"/>
      <c r="U23" s="76"/>
    </row>
    <row r="24" spans="2:21" x14ac:dyDescent="0.15">
      <c r="C24" s="16"/>
      <c r="D24" s="16"/>
      <c r="E24" s="16"/>
      <c r="G24" s="17"/>
      <c r="H24" s="17"/>
      <c r="I24" s="17"/>
      <c r="J24" s="17"/>
      <c r="K24" s="17"/>
      <c r="M24" s="98" t="s">
        <v>241</v>
      </c>
      <c r="N24" s="92">
        <v>0.04</v>
      </c>
      <c r="O24" s="92">
        <v>4.2000000000000003E-2</v>
      </c>
      <c r="P24" s="92">
        <v>4.4999999999999998E-2</v>
      </c>
      <c r="R24" s="22"/>
      <c r="S24" s="105"/>
      <c r="T24" s="105"/>
      <c r="U24" s="105"/>
    </row>
    <row r="25" spans="2:21" ht="12" customHeight="1" x14ac:dyDescent="0.15">
      <c r="B25" s="75" t="s">
        <v>83</v>
      </c>
      <c r="C25" s="76">
        <f>-'P&amp;L source'!F9</f>
        <v>-7697</v>
      </c>
      <c r="D25" s="76">
        <f>-'P&amp;L source'!G9</f>
        <v>-9341</v>
      </c>
      <c r="E25" s="76">
        <f>-'P&amp;L source'!H9</f>
        <v>-10982</v>
      </c>
      <c r="F25" s="75"/>
      <c r="G25" s="95">
        <f>-G26*G13</f>
        <v>-11705.791999999999</v>
      </c>
      <c r="H25" s="95">
        <f t="shared" ref="H25:K25" si="11">-H26*H13</f>
        <v>-12408.139520000001</v>
      </c>
      <c r="I25" s="95">
        <f t="shared" si="11"/>
        <v>-13152.627891200002</v>
      </c>
      <c r="J25" s="95">
        <f t="shared" si="11"/>
        <v>-13941.785564672002</v>
      </c>
      <c r="K25" s="95">
        <f t="shared" si="11"/>
        <v>-14778.292698552323</v>
      </c>
      <c r="M25" s="98" t="s">
        <v>243</v>
      </c>
      <c r="N25" s="107">
        <v>150</v>
      </c>
      <c r="O25" s="107">
        <v>145</v>
      </c>
      <c r="P25" s="107">
        <v>140</v>
      </c>
      <c r="R25" s="75"/>
      <c r="S25" s="76"/>
      <c r="T25" s="76"/>
      <c r="U25" s="76"/>
    </row>
    <row r="26" spans="2:21" ht="11" customHeight="1" x14ac:dyDescent="0.15">
      <c r="B26" s="64" t="s">
        <v>175</v>
      </c>
      <c r="C26" s="96">
        <f>ABS(C25/C13)</f>
        <v>0.9013936058086427</v>
      </c>
      <c r="D26" s="96">
        <f t="shared" ref="D26:E26" si="12">ABS(D25/D13)</f>
        <v>0.87331712789827975</v>
      </c>
      <c r="E26" s="96">
        <f t="shared" si="12"/>
        <v>0.84528940886699511</v>
      </c>
      <c r="F26" s="64"/>
      <c r="G26" s="88">
        <f>CHOOSE($C$5,G27,G28,G29)</f>
        <v>0.85</v>
      </c>
      <c r="H26" s="88">
        <f t="shared" ref="H26" si="13">CHOOSE($C$5,H27,H28,H29)</f>
        <v>0.85</v>
      </c>
      <c r="I26" s="88">
        <f t="shared" ref="I26" si="14">CHOOSE($C$5,I27,I28,I29)</f>
        <v>0.85</v>
      </c>
      <c r="J26" s="88">
        <f t="shared" ref="J26" si="15">CHOOSE($C$5,J27,J28,J29)</f>
        <v>0.85</v>
      </c>
      <c r="K26" s="88">
        <f t="shared" ref="K26" si="16">CHOOSE($C$5,K27,K28,K29)</f>
        <v>0.85</v>
      </c>
      <c r="M26" s="98" t="s">
        <v>244</v>
      </c>
      <c r="N26" s="108">
        <v>0.12</v>
      </c>
      <c r="O26" s="108">
        <v>0.13</v>
      </c>
      <c r="P26" s="108">
        <v>0.15</v>
      </c>
      <c r="R26" s="22"/>
      <c r="S26" s="22"/>
      <c r="T26" s="22"/>
      <c r="U26" s="22"/>
    </row>
    <row r="27" spans="2:21" ht="12" customHeight="1" x14ac:dyDescent="0.15">
      <c r="B27" s="11" t="s">
        <v>23</v>
      </c>
      <c r="C27" s="20"/>
      <c r="D27" s="20"/>
      <c r="E27" s="20"/>
      <c r="G27" s="50">
        <v>0.84</v>
      </c>
      <c r="H27" s="50">
        <v>0.84</v>
      </c>
      <c r="I27" s="50">
        <v>0.84</v>
      </c>
      <c r="J27" s="50">
        <v>0.84</v>
      </c>
      <c r="K27" s="50">
        <v>0.84</v>
      </c>
      <c r="M27" s="98" t="s">
        <v>245</v>
      </c>
      <c r="N27" s="108">
        <v>0.08</v>
      </c>
      <c r="O27" s="108">
        <v>0.09</v>
      </c>
      <c r="P27" s="108">
        <v>0.1</v>
      </c>
      <c r="R27" s="75"/>
      <c r="S27" s="76"/>
      <c r="T27" s="76"/>
      <c r="U27" s="76"/>
    </row>
    <row r="28" spans="2:21" ht="12" customHeight="1" x14ac:dyDescent="0.15">
      <c r="B28" s="11" t="s">
        <v>24</v>
      </c>
      <c r="C28" s="20"/>
      <c r="D28" s="20"/>
      <c r="E28" s="20"/>
      <c r="G28" s="50">
        <v>0.85</v>
      </c>
      <c r="H28" s="50">
        <v>0.85</v>
      </c>
      <c r="I28" s="50">
        <v>0.85</v>
      </c>
      <c r="J28" s="50">
        <v>0.85</v>
      </c>
      <c r="K28" s="50">
        <v>0.85</v>
      </c>
      <c r="M28" s="98" t="s">
        <v>246</v>
      </c>
      <c r="N28" s="113">
        <v>-250</v>
      </c>
      <c r="O28" s="113">
        <v>0</v>
      </c>
      <c r="P28" s="113">
        <v>500</v>
      </c>
      <c r="R28" s="22"/>
      <c r="S28" s="105"/>
      <c r="T28" s="105"/>
      <c r="U28" s="105"/>
    </row>
    <row r="29" spans="2:21" ht="12" customHeight="1" x14ac:dyDescent="0.15">
      <c r="B29" s="11" t="s">
        <v>25</v>
      </c>
      <c r="C29" s="20"/>
      <c r="D29" s="20"/>
      <c r="E29" s="20"/>
      <c r="G29" s="50">
        <v>0.86</v>
      </c>
      <c r="H29" s="50">
        <v>0.86</v>
      </c>
      <c r="I29" s="50">
        <v>0.86</v>
      </c>
      <c r="J29" s="50">
        <v>0.86</v>
      </c>
      <c r="K29" s="50">
        <v>0.86</v>
      </c>
      <c r="M29" s="227" t="s">
        <v>259</v>
      </c>
      <c r="N29" s="228"/>
      <c r="O29" s="228"/>
      <c r="P29" s="228"/>
      <c r="R29" s="75"/>
      <c r="S29" s="76"/>
      <c r="T29" s="76"/>
      <c r="U29" s="76"/>
    </row>
    <row r="30" spans="2:21" ht="12" customHeight="1" x14ac:dyDescent="0.15">
      <c r="G30" s="23"/>
      <c r="H30" s="23"/>
      <c r="I30" s="23"/>
      <c r="J30" s="23"/>
      <c r="K30" s="23"/>
      <c r="M30" s="98" t="s">
        <v>284</v>
      </c>
      <c r="N30" s="92">
        <v>-1.4999999999999999E-2</v>
      </c>
      <c r="O30" s="92">
        <v>-0.01</v>
      </c>
      <c r="P30" s="92">
        <v>0</v>
      </c>
      <c r="R30" s="22"/>
      <c r="S30" s="22"/>
      <c r="T30" s="22"/>
      <c r="U30" s="22"/>
    </row>
    <row r="31" spans="2:21" ht="12" customHeight="1" x14ac:dyDescent="0.15">
      <c r="B31" s="75" t="s">
        <v>26</v>
      </c>
      <c r="C31" s="76">
        <f>-SUM('P&amp;L source'!F13:F14)</f>
        <v>-1010</v>
      </c>
      <c r="D31" s="76">
        <f>-SUM('P&amp;L source'!G13:G14)</f>
        <v>-1075</v>
      </c>
      <c r="E31" s="76">
        <f>-SUM('P&amp;L source'!H13:H14)</f>
        <v>-1134</v>
      </c>
      <c r="F31" s="75"/>
      <c r="G31" s="95">
        <f>-G32*SUM(G7,G13)</f>
        <v>-1219.7403199999999</v>
      </c>
      <c r="H31" s="95">
        <f t="shared" ref="H31:K31" si="17">-H32*SUM(H7,H13)</f>
        <v>-1281.2389639999999</v>
      </c>
      <c r="I31" s="95">
        <f t="shared" si="17"/>
        <v>-1345.9016667559999</v>
      </c>
      <c r="J31" s="95">
        <f t="shared" si="17"/>
        <v>-1413.89460809858</v>
      </c>
      <c r="K31" s="95">
        <f t="shared" si="17"/>
        <v>-1485.3928737818896</v>
      </c>
      <c r="M31" s="98" t="s">
        <v>285</v>
      </c>
      <c r="N31" s="92">
        <v>5.5E-2</v>
      </c>
      <c r="O31" s="92">
        <v>4.4999999999999998E-2</v>
      </c>
      <c r="P31" s="92">
        <v>3.5000000000000003E-2</v>
      </c>
    </row>
    <row r="32" spans="2:21" ht="11" customHeight="1" x14ac:dyDescent="0.15">
      <c r="B32" s="64" t="s">
        <v>189</v>
      </c>
      <c r="C32" s="86">
        <f>ABS(C31/(C7+C13))</f>
        <v>3.5954576198782527E-2</v>
      </c>
      <c r="D32" s="86">
        <f>ABS(D31/(D7+D13))</f>
        <v>3.2443036064584277E-2</v>
      </c>
      <c r="E32" s="86">
        <f>ABS(E31/(E7+E13))</f>
        <v>3.1249138857505028E-2</v>
      </c>
      <c r="F32" s="64"/>
      <c r="G32" s="88">
        <f>CHOOSE($C$5,G33,G34,G35)</f>
        <v>3.2000000000000001E-2</v>
      </c>
      <c r="H32" s="88">
        <f t="shared" ref="H32" si="18">CHOOSE($C$5,H33,H34,H35)</f>
        <v>3.2000000000000001E-2</v>
      </c>
      <c r="I32" s="88">
        <f t="shared" ref="I32" si="19">CHOOSE($C$5,I33,I34,I35)</f>
        <v>3.2000000000000001E-2</v>
      </c>
      <c r="J32" s="88">
        <f t="shared" ref="J32" si="20">CHOOSE($C$5,J33,J34,J35)</f>
        <v>3.2000000000000001E-2</v>
      </c>
      <c r="K32" s="88">
        <f t="shared" ref="K32" si="21">CHOOSE($C$5,K33,K34,K35)</f>
        <v>3.2000000000000001E-2</v>
      </c>
      <c r="M32" s="98" t="s">
        <v>286</v>
      </c>
      <c r="N32" s="113">
        <v>-250</v>
      </c>
      <c r="O32" s="113">
        <v>0</v>
      </c>
      <c r="P32" s="113">
        <v>500</v>
      </c>
    </row>
    <row r="33" spans="2:23" x14ac:dyDescent="0.15">
      <c r="B33" s="11" t="s">
        <v>23</v>
      </c>
      <c r="C33" s="20"/>
      <c r="D33" s="20"/>
      <c r="E33" s="20"/>
      <c r="G33" s="50">
        <v>0.03</v>
      </c>
      <c r="H33" s="50">
        <v>0.03</v>
      </c>
      <c r="I33" s="50">
        <v>0.03</v>
      </c>
      <c r="J33" s="50">
        <v>0.03</v>
      </c>
      <c r="K33" s="50">
        <v>0.03</v>
      </c>
      <c r="M33" s="98" t="s">
        <v>287</v>
      </c>
      <c r="N33" s="108">
        <v>0.22</v>
      </c>
      <c r="O33" s="108">
        <v>0.25</v>
      </c>
      <c r="P33" s="108">
        <v>0.3</v>
      </c>
    </row>
    <row r="34" spans="2:23" x14ac:dyDescent="0.15">
      <c r="B34" s="11" t="s">
        <v>24</v>
      </c>
      <c r="C34" s="20"/>
      <c r="D34" s="20"/>
      <c r="E34" s="20"/>
      <c r="G34" s="50">
        <v>3.2000000000000001E-2</v>
      </c>
      <c r="H34" s="50">
        <v>3.2000000000000001E-2</v>
      </c>
      <c r="I34" s="50">
        <v>3.2000000000000001E-2</v>
      </c>
      <c r="J34" s="50">
        <v>3.2000000000000001E-2</v>
      </c>
      <c r="K34" s="50">
        <v>3.2000000000000001E-2</v>
      </c>
      <c r="M34" s="98" t="s">
        <v>288</v>
      </c>
      <c r="N34" s="113">
        <v>-200</v>
      </c>
      <c r="O34" s="113">
        <v>-100</v>
      </c>
      <c r="P34" s="113">
        <v>0</v>
      </c>
    </row>
    <row r="35" spans="2:23" x14ac:dyDescent="0.15">
      <c r="B35" s="11" t="s">
        <v>25</v>
      </c>
      <c r="C35" s="20"/>
      <c r="D35" s="20"/>
      <c r="E35" s="20"/>
      <c r="G35" s="50">
        <v>3.5000000000000003E-2</v>
      </c>
      <c r="H35" s="50">
        <v>3.5000000000000003E-2</v>
      </c>
      <c r="I35" s="50">
        <v>3.5000000000000003E-2</v>
      </c>
      <c r="J35" s="50">
        <v>3.5000000000000003E-2</v>
      </c>
      <c r="K35" s="50">
        <v>3.5000000000000003E-2</v>
      </c>
      <c r="M35" s="227" t="s">
        <v>456</v>
      </c>
      <c r="N35" s="228"/>
      <c r="O35" s="228"/>
      <c r="P35" s="228"/>
    </row>
    <row r="36" spans="2:23" x14ac:dyDescent="0.15">
      <c r="C36" s="16"/>
      <c r="D36" s="16"/>
      <c r="E36" s="16"/>
      <c r="G36" s="19"/>
      <c r="H36" s="19"/>
      <c r="I36" s="19"/>
      <c r="J36" s="19"/>
      <c r="K36" s="19"/>
      <c r="M36" s="212" t="s">
        <v>457</v>
      </c>
      <c r="N36" s="92">
        <v>0.02</v>
      </c>
      <c r="O36" s="92">
        <v>1.4999999999999999E-2</v>
      </c>
      <c r="P36" s="92">
        <v>0.01</v>
      </c>
    </row>
    <row r="37" spans="2:23" ht="12" customHeight="1" x14ac:dyDescent="0.15">
      <c r="B37" s="75" t="s">
        <v>27</v>
      </c>
      <c r="C37" s="76">
        <f>-'CF source'!D9</f>
        <v>-2147</v>
      </c>
      <c r="D37" s="76">
        <f>-'CF source'!E9</f>
        <v>-2312</v>
      </c>
      <c r="E37" s="76">
        <f>-'CF source'!F9</f>
        <v>-2519</v>
      </c>
      <c r="F37" s="75"/>
      <c r="G37" s="95">
        <f>-G38*SUM(G7,G13)</f>
        <v>-2668.1819499999997</v>
      </c>
      <c r="H37" s="95">
        <f t="shared" ref="H37:K37" si="22">-H38*SUM(H7,H13)</f>
        <v>-2802.71023375</v>
      </c>
      <c r="I37" s="95">
        <f t="shared" si="22"/>
        <v>-2944.1598960287502</v>
      </c>
      <c r="J37" s="95">
        <f t="shared" si="22"/>
        <v>-3092.894455215644</v>
      </c>
      <c r="K37" s="95">
        <f t="shared" si="22"/>
        <v>-3249.2969113978838</v>
      </c>
    </row>
    <row r="38" spans="2:23" ht="13" customHeight="1" x14ac:dyDescent="0.15">
      <c r="B38" s="64" t="s">
        <v>189</v>
      </c>
      <c r="C38" s="86">
        <f>ABS(C37/(C7+C13))</f>
        <v>7.6430173365134746E-2</v>
      </c>
      <c r="D38" s="86">
        <f>ABS(D37/(D7+D13))</f>
        <v>6.977516221518032E-2</v>
      </c>
      <c r="E38" s="86">
        <f>ABS(E37/(E7+E13))</f>
        <v>6.9414974234616553E-2</v>
      </c>
      <c r="F38" s="64"/>
      <c r="G38" s="88">
        <f>CHOOSE($C$5,G39,G40,G41)</f>
        <v>7.0000000000000007E-2</v>
      </c>
      <c r="H38" s="88">
        <f t="shared" ref="H38" si="23">CHOOSE($C$5,H39,H40,H41)</f>
        <v>7.0000000000000007E-2</v>
      </c>
      <c r="I38" s="88">
        <f t="shared" ref="I38" si="24">CHOOSE($C$5,I39,I40,I41)</f>
        <v>7.0000000000000007E-2</v>
      </c>
      <c r="J38" s="88">
        <f t="shared" ref="J38" si="25">CHOOSE($C$5,J39,J40,J41)</f>
        <v>7.0000000000000007E-2</v>
      </c>
      <c r="K38" s="88">
        <f t="shared" ref="K38" si="26">CHOOSE($C$5,K39,K40,K41)</f>
        <v>7.0000000000000007E-2</v>
      </c>
      <c r="M38" s="93" t="s">
        <v>193</v>
      </c>
      <c r="N38" s="229" t="s">
        <v>194</v>
      </c>
      <c r="O38" s="229"/>
      <c r="P38" s="229"/>
      <c r="Q38" s="229"/>
      <c r="R38" s="229"/>
      <c r="S38" s="229"/>
      <c r="T38" s="229"/>
      <c r="U38" s="229"/>
      <c r="V38" s="229"/>
      <c r="W38" s="229"/>
    </row>
    <row r="39" spans="2:23" ht="12" customHeight="1" x14ac:dyDescent="0.15">
      <c r="B39" s="11" t="s">
        <v>23</v>
      </c>
      <c r="C39" s="20"/>
      <c r="D39" s="20"/>
      <c r="E39" s="20"/>
      <c r="G39" s="50">
        <v>6.7000000000000004E-2</v>
      </c>
      <c r="H39" s="50">
        <v>6.7000000000000004E-2</v>
      </c>
      <c r="I39" s="50">
        <v>6.7000000000000004E-2</v>
      </c>
      <c r="J39" s="50">
        <v>6.7000000000000004E-2</v>
      </c>
      <c r="K39" s="50">
        <v>6.7000000000000004E-2</v>
      </c>
      <c r="M39" s="227" t="s">
        <v>192</v>
      </c>
      <c r="N39" s="227"/>
      <c r="O39" s="227"/>
      <c r="P39" s="227"/>
      <c r="Q39" s="227"/>
      <c r="R39" s="227"/>
      <c r="S39" s="227"/>
      <c r="T39" s="227"/>
      <c r="U39" s="227"/>
      <c r="V39" s="227"/>
      <c r="W39" s="227"/>
    </row>
    <row r="40" spans="2:23" ht="12" customHeight="1" x14ac:dyDescent="0.15">
      <c r="B40" s="11" t="s">
        <v>24</v>
      </c>
      <c r="C40" s="20"/>
      <c r="D40" s="20"/>
      <c r="E40" s="20"/>
      <c r="G40" s="50">
        <v>7.0000000000000007E-2</v>
      </c>
      <c r="H40" s="50">
        <v>7.0000000000000007E-2</v>
      </c>
      <c r="I40" s="50">
        <v>7.0000000000000007E-2</v>
      </c>
      <c r="J40" s="50">
        <v>7.0000000000000007E-2</v>
      </c>
      <c r="K40" s="50">
        <v>7.0000000000000007E-2</v>
      </c>
      <c r="M40" s="91" t="s">
        <v>195</v>
      </c>
      <c r="N40" s="226" t="s">
        <v>205</v>
      </c>
      <c r="O40" s="226"/>
      <c r="P40" s="226"/>
      <c r="Q40" s="226"/>
      <c r="R40" s="226"/>
      <c r="S40" s="226"/>
      <c r="T40" s="226"/>
      <c r="U40" s="226"/>
      <c r="V40" s="226"/>
      <c r="W40" s="226"/>
    </row>
    <row r="41" spans="2:23" ht="12" customHeight="1" x14ac:dyDescent="0.15">
      <c r="B41" s="11" t="s">
        <v>25</v>
      </c>
      <c r="C41" s="20"/>
      <c r="D41" s="20"/>
      <c r="E41" s="20"/>
      <c r="G41" s="50">
        <v>7.1999999999999995E-2</v>
      </c>
      <c r="H41" s="50">
        <v>7.1999999999999995E-2</v>
      </c>
      <c r="I41" s="50">
        <v>7.1999999999999995E-2</v>
      </c>
      <c r="J41" s="50">
        <v>7.1999999999999995E-2</v>
      </c>
      <c r="K41" s="50">
        <v>7.1999999999999995E-2</v>
      </c>
      <c r="M41" s="91" t="s">
        <v>196</v>
      </c>
      <c r="N41" s="226" t="s">
        <v>206</v>
      </c>
      <c r="O41" s="226"/>
      <c r="P41" s="226"/>
      <c r="Q41" s="226"/>
      <c r="R41" s="226"/>
      <c r="S41" s="226"/>
      <c r="T41" s="226"/>
      <c r="U41" s="226"/>
      <c r="V41" s="226"/>
      <c r="W41" s="226"/>
    </row>
    <row r="42" spans="2:23" ht="12" customHeight="1" x14ac:dyDescent="0.15">
      <c r="C42" s="16"/>
      <c r="D42" s="16"/>
      <c r="E42" s="16"/>
      <c r="G42" s="19"/>
      <c r="H42" s="19"/>
      <c r="I42" s="19"/>
      <c r="J42" s="19"/>
      <c r="K42" s="19"/>
      <c r="M42" s="91" t="s">
        <v>197</v>
      </c>
      <c r="N42" s="226" t="s">
        <v>207</v>
      </c>
      <c r="O42" s="226"/>
      <c r="P42" s="226"/>
      <c r="Q42" s="226"/>
      <c r="R42" s="226"/>
      <c r="S42" s="226"/>
      <c r="T42" s="226"/>
      <c r="U42" s="226"/>
      <c r="V42" s="226"/>
      <c r="W42" s="226"/>
    </row>
    <row r="43" spans="2:23" ht="12" customHeight="1" x14ac:dyDescent="0.15">
      <c r="B43" s="75" t="s">
        <v>176</v>
      </c>
      <c r="C43" s="76">
        <f>'P&amp;L source'!F20</f>
        <v>610</v>
      </c>
      <c r="D43" s="76">
        <f>'P&amp;L source'!G20</f>
        <v>342</v>
      </c>
      <c r="E43" s="76">
        <f>'P&amp;L source'!H20</f>
        <v>380</v>
      </c>
      <c r="F43" s="75"/>
      <c r="G43" s="87"/>
      <c r="H43" s="87"/>
      <c r="I43" s="87"/>
      <c r="J43" s="87"/>
      <c r="K43" s="87"/>
      <c r="M43" s="94" t="s">
        <v>198</v>
      </c>
      <c r="N43" s="226" t="s">
        <v>208</v>
      </c>
      <c r="O43" s="226"/>
      <c r="P43" s="226"/>
      <c r="Q43" s="226"/>
      <c r="R43" s="226"/>
      <c r="S43" s="226"/>
      <c r="T43" s="226"/>
      <c r="U43" s="226"/>
      <c r="V43" s="226"/>
      <c r="W43" s="226"/>
    </row>
    <row r="44" spans="2:23" ht="14" customHeight="1" x14ac:dyDescent="0.15">
      <c r="B44" s="64" t="s">
        <v>177</v>
      </c>
      <c r="C44" s="97">
        <v>0</v>
      </c>
      <c r="D44" s="86">
        <f>D43/AVERAGE('BS source'!G4,'BS source'!F4)</f>
        <v>0.15016465422612513</v>
      </c>
      <c r="E44" s="86">
        <f>E43/AVERAGE('BS source'!H4,'BS source'!G4)</f>
        <v>0.11793916821849783</v>
      </c>
      <c r="F44" s="64"/>
      <c r="G44" s="88">
        <f>CHOOSE($C$5,G45,G46,G47)</f>
        <v>1.4999999999999999E-2</v>
      </c>
      <c r="H44" s="88">
        <f t="shared" ref="H44" si="27">CHOOSE($C$5,H45,H46,H47)</f>
        <v>1.4999999999999999E-2</v>
      </c>
      <c r="I44" s="88">
        <f t="shared" ref="I44" si="28">CHOOSE($C$5,I45,I46,I47)</f>
        <v>1.4999999999999999E-2</v>
      </c>
      <c r="J44" s="88">
        <f t="shared" ref="J44" si="29">CHOOSE($C$5,J45,J46,J47)</f>
        <v>1.4999999999999999E-2</v>
      </c>
      <c r="K44" s="88">
        <f t="shared" ref="K44" si="30">CHOOSE($C$5,K45,K46,K47)</f>
        <v>1.4999999999999999E-2</v>
      </c>
      <c r="M44" s="98" t="s">
        <v>203</v>
      </c>
      <c r="N44" s="226" t="s">
        <v>209</v>
      </c>
      <c r="O44" s="226"/>
      <c r="P44" s="226"/>
      <c r="Q44" s="226"/>
      <c r="R44" s="226"/>
      <c r="S44" s="226"/>
      <c r="T44" s="226"/>
      <c r="U44" s="226"/>
      <c r="V44" s="226"/>
      <c r="W44" s="226"/>
    </row>
    <row r="45" spans="2:23" ht="12" customHeight="1" x14ac:dyDescent="0.15">
      <c r="B45" s="11" t="s">
        <v>23</v>
      </c>
      <c r="C45" s="20"/>
      <c r="D45" s="20"/>
      <c r="E45" s="20"/>
      <c r="G45" s="50">
        <v>0.02</v>
      </c>
      <c r="H45" s="50">
        <v>0.02</v>
      </c>
      <c r="I45" s="50">
        <v>0.02</v>
      </c>
      <c r="J45" s="50">
        <v>0.02</v>
      </c>
      <c r="K45" s="50">
        <v>0.02</v>
      </c>
      <c r="M45" s="91" t="s">
        <v>199</v>
      </c>
      <c r="N45" s="226" t="s">
        <v>210</v>
      </c>
      <c r="O45" s="226"/>
      <c r="P45" s="226"/>
      <c r="Q45" s="226"/>
      <c r="R45" s="226"/>
      <c r="S45" s="226"/>
      <c r="T45" s="226"/>
      <c r="U45" s="226"/>
      <c r="V45" s="226"/>
      <c r="W45" s="226"/>
    </row>
    <row r="46" spans="2:23" ht="12" customHeight="1" x14ac:dyDescent="0.15">
      <c r="B46" s="11" t="s">
        <v>24</v>
      </c>
      <c r="C46" s="20"/>
      <c r="D46" s="20"/>
      <c r="E46" s="20"/>
      <c r="G46" s="50">
        <v>1.4999999999999999E-2</v>
      </c>
      <c r="H46" s="50">
        <v>1.4999999999999999E-2</v>
      </c>
      <c r="I46" s="50">
        <v>1.4999999999999999E-2</v>
      </c>
      <c r="J46" s="50">
        <v>1.4999999999999999E-2</v>
      </c>
      <c r="K46" s="50">
        <v>1.4999999999999999E-2</v>
      </c>
      <c r="M46" s="91" t="s">
        <v>200</v>
      </c>
      <c r="N46" s="226" t="s">
        <v>211</v>
      </c>
      <c r="O46" s="226"/>
      <c r="P46" s="226"/>
      <c r="Q46" s="226"/>
      <c r="R46" s="226"/>
      <c r="S46" s="226"/>
      <c r="T46" s="226"/>
      <c r="U46" s="226"/>
      <c r="V46" s="226"/>
      <c r="W46" s="226"/>
    </row>
    <row r="47" spans="2:23" ht="12" customHeight="1" x14ac:dyDescent="0.15">
      <c r="B47" s="11" t="s">
        <v>25</v>
      </c>
      <c r="C47" s="20"/>
      <c r="D47" s="20"/>
      <c r="E47" s="20"/>
      <c r="G47" s="50">
        <v>0.01</v>
      </c>
      <c r="H47" s="50">
        <v>0.01</v>
      </c>
      <c r="I47" s="50">
        <v>0.01</v>
      </c>
      <c r="J47" s="50">
        <v>0.01</v>
      </c>
      <c r="K47" s="50">
        <v>0.01</v>
      </c>
      <c r="M47" s="91" t="s">
        <v>201</v>
      </c>
      <c r="N47" s="226" t="s">
        <v>212</v>
      </c>
      <c r="O47" s="226"/>
      <c r="P47" s="226"/>
      <c r="Q47" s="226"/>
      <c r="R47" s="226"/>
      <c r="S47" s="226"/>
      <c r="T47" s="226"/>
      <c r="U47" s="226"/>
      <c r="V47" s="226"/>
      <c r="W47" s="226"/>
    </row>
    <row r="48" spans="2:23" ht="12" customHeight="1" x14ac:dyDescent="0.15">
      <c r="C48" s="16"/>
      <c r="D48" s="16"/>
      <c r="E48" s="16"/>
      <c r="G48" s="19"/>
      <c r="H48" s="19"/>
      <c r="I48" s="19"/>
      <c r="J48" s="19"/>
      <c r="K48" s="19"/>
      <c r="M48" s="91" t="s">
        <v>202</v>
      </c>
      <c r="N48" s="226" t="s">
        <v>213</v>
      </c>
      <c r="O48" s="226"/>
      <c r="P48" s="226"/>
      <c r="Q48" s="226"/>
      <c r="R48" s="226"/>
      <c r="S48" s="226"/>
      <c r="T48" s="226"/>
      <c r="U48" s="226"/>
      <c r="V48" s="226"/>
      <c r="W48" s="226"/>
    </row>
    <row r="49" spans="2:23" ht="12" customHeight="1" x14ac:dyDescent="0.15">
      <c r="B49" s="75" t="s">
        <v>178</v>
      </c>
      <c r="C49" s="76">
        <f>-'P&amp;L source'!F21</f>
        <v>-490</v>
      </c>
      <c r="D49" s="76">
        <f>-'P&amp;L source'!G21</f>
        <v>-503</v>
      </c>
      <c r="E49" s="76">
        <f>-'P&amp;L source'!H21</f>
        <v>-512</v>
      </c>
      <c r="F49" s="75"/>
      <c r="G49" s="95"/>
      <c r="H49" s="95"/>
      <c r="I49" s="95"/>
      <c r="J49" s="95"/>
      <c r="K49" s="95"/>
      <c r="M49" s="227" t="s">
        <v>204</v>
      </c>
      <c r="N49" s="227"/>
      <c r="O49" s="227"/>
      <c r="P49" s="227"/>
      <c r="Q49" s="227"/>
      <c r="R49" s="227"/>
      <c r="S49" s="227"/>
      <c r="T49" s="227"/>
      <c r="U49" s="227"/>
      <c r="V49" s="227"/>
      <c r="W49" s="227"/>
    </row>
    <row r="50" spans="2:23" ht="13" customHeight="1" x14ac:dyDescent="0.15">
      <c r="B50" s="64" t="s">
        <v>179</v>
      </c>
      <c r="C50" s="97">
        <v>0</v>
      </c>
      <c r="D50" s="86">
        <f>ABS(D49/AVERAGE('BS source'!O29,'BS source'!N29))</f>
        <v>4.1585713695175892E-2</v>
      </c>
      <c r="E50" s="86">
        <f>ABS(E49/AVERAGE('BS source'!P29,'BS source'!O29))</f>
        <v>4.2597445817213697E-2</v>
      </c>
      <c r="F50" s="64"/>
      <c r="G50" s="88">
        <f>CHOOSE($C$5,G51,G52,G53)</f>
        <v>4.2999999999999997E-2</v>
      </c>
      <c r="H50" s="88">
        <f t="shared" ref="H50" si="31">CHOOSE($C$5,H51,H52,H53)</f>
        <v>4.2999999999999997E-2</v>
      </c>
      <c r="I50" s="88">
        <f t="shared" ref="I50" si="32">CHOOSE($C$5,I51,I52,I53)</f>
        <v>4.2999999999999997E-2</v>
      </c>
      <c r="J50" s="88">
        <f t="shared" ref="J50" si="33">CHOOSE($C$5,J51,J52,J53)</f>
        <v>4.2999999999999997E-2</v>
      </c>
      <c r="K50" s="88">
        <f t="shared" ref="K50" si="34">CHOOSE($C$5,K51,K52,K53)</f>
        <v>4.2999999999999997E-2</v>
      </c>
      <c r="M50" s="106" t="s">
        <v>238</v>
      </c>
      <c r="N50" s="226" t="s">
        <v>247</v>
      </c>
      <c r="O50" s="226"/>
      <c r="P50" s="226"/>
      <c r="Q50" s="226"/>
      <c r="R50" s="226"/>
      <c r="S50" s="226"/>
      <c r="T50" s="226"/>
      <c r="U50" s="226"/>
      <c r="V50" s="226"/>
      <c r="W50" s="226"/>
    </row>
    <row r="51" spans="2:23" x14ac:dyDescent="0.15">
      <c r="B51" s="11" t="s">
        <v>23</v>
      </c>
      <c r="C51" s="20"/>
      <c r="D51" s="20"/>
      <c r="E51" s="20"/>
      <c r="G51" s="50">
        <v>4.1000000000000002E-2</v>
      </c>
      <c r="H51" s="50">
        <v>4.1000000000000002E-2</v>
      </c>
      <c r="I51" s="50">
        <v>4.1000000000000002E-2</v>
      </c>
      <c r="J51" s="50">
        <v>4.1000000000000002E-2</v>
      </c>
      <c r="K51" s="50">
        <v>4.1000000000000002E-2</v>
      </c>
      <c r="M51" s="98" t="s">
        <v>239</v>
      </c>
      <c r="N51" s="226" t="s">
        <v>248</v>
      </c>
      <c r="O51" s="226"/>
      <c r="P51" s="226"/>
      <c r="Q51" s="226"/>
      <c r="R51" s="226"/>
      <c r="S51" s="226"/>
      <c r="T51" s="226"/>
      <c r="U51" s="226"/>
      <c r="V51" s="226"/>
      <c r="W51" s="226"/>
    </row>
    <row r="52" spans="2:23" ht="12" customHeight="1" x14ac:dyDescent="0.15">
      <c r="B52" s="11" t="s">
        <v>24</v>
      </c>
      <c r="C52" s="20"/>
      <c r="D52" s="20"/>
      <c r="E52" s="20"/>
      <c r="G52" s="50">
        <v>4.2999999999999997E-2</v>
      </c>
      <c r="H52" s="50">
        <v>4.2999999999999997E-2</v>
      </c>
      <c r="I52" s="50">
        <v>4.2999999999999997E-2</v>
      </c>
      <c r="J52" s="50">
        <v>4.2999999999999997E-2</v>
      </c>
      <c r="K52" s="50">
        <v>4.2999999999999997E-2</v>
      </c>
      <c r="M52" s="98" t="s">
        <v>240</v>
      </c>
      <c r="N52" s="226" t="s">
        <v>249</v>
      </c>
      <c r="O52" s="226"/>
      <c r="P52" s="226"/>
      <c r="Q52" s="226"/>
      <c r="R52" s="226"/>
      <c r="S52" s="226"/>
      <c r="T52" s="226"/>
      <c r="U52" s="226"/>
      <c r="V52" s="226"/>
      <c r="W52" s="226"/>
    </row>
    <row r="53" spans="2:23" ht="12" customHeight="1" x14ac:dyDescent="0.15">
      <c r="B53" s="11" t="s">
        <v>25</v>
      </c>
      <c r="C53" s="20"/>
      <c r="D53" s="20"/>
      <c r="E53" s="20"/>
      <c r="G53" s="50">
        <v>4.7E-2</v>
      </c>
      <c r="H53" s="50">
        <v>4.7E-2</v>
      </c>
      <c r="I53" s="50">
        <v>4.7E-2</v>
      </c>
      <c r="J53" s="50">
        <v>4.7E-2</v>
      </c>
      <c r="K53" s="50">
        <v>4.7E-2</v>
      </c>
      <c r="M53" s="98" t="s">
        <v>241</v>
      </c>
      <c r="N53" s="226" t="s">
        <v>250</v>
      </c>
      <c r="O53" s="226"/>
      <c r="P53" s="226"/>
      <c r="Q53" s="226"/>
      <c r="R53" s="226"/>
      <c r="S53" s="226"/>
      <c r="T53" s="226"/>
      <c r="U53" s="226"/>
      <c r="V53" s="226"/>
      <c r="W53" s="226"/>
    </row>
    <row r="54" spans="2:23" ht="12" customHeight="1" x14ac:dyDescent="0.15">
      <c r="C54" s="16"/>
      <c r="D54" s="16"/>
      <c r="E54" s="16"/>
      <c r="G54" s="19"/>
      <c r="H54" s="19"/>
      <c r="I54" s="19"/>
      <c r="J54" s="19"/>
      <c r="K54" s="19"/>
      <c r="M54" s="98" t="s">
        <v>243</v>
      </c>
      <c r="N54" s="226" t="s">
        <v>251</v>
      </c>
      <c r="O54" s="226"/>
      <c r="P54" s="226"/>
      <c r="Q54" s="226"/>
      <c r="R54" s="226"/>
      <c r="S54" s="226"/>
      <c r="T54" s="226"/>
      <c r="U54" s="226"/>
      <c r="V54" s="226"/>
      <c r="W54" s="226"/>
    </row>
    <row r="55" spans="2:23" ht="12" customHeight="1" x14ac:dyDescent="0.15">
      <c r="B55" s="75" t="s">
        <v>180</v>
      </c>
      <c r="C55" s="76">
        <f>-'P&amp;L source'!F24</f>
        <v>-779</v>
      </c>
      <c r="D55" s="76">
        <f>-'P&amp;L source'!G24</f>
        <v>-1007</v>
      </c>
      <c r="E55" s="76">
        <f>-'P&amp;L source'!H24</f>
        <v>-1093</v>
      </c>
      <c r="F55" s="75"/>
      <c r="G55" s="95">
        <f>-G56*G66</f>
        <v>-1313.429691</v>
      </c>
      <c r="H55" s="95">
        <f t="shared" ref="H55:K55" si="35">-H56*H66</f>
        <v>-1377.409145175</v>
      </c>
      <c r="I55" s="95">
        <f t="shared" si="35"/>
        <v>-1444.5601818726745</v>
      </c>
      <c r="J55" s="95">
        <f t="shared" si="35"/>
        <v>-1515.0430727316339</v>
      </c>
      <c r="K55" s="95">
        <f t="shared" si="35"/>
        <v>-1589.0263546397264</v>
      </c>
      <c r="M55" s="98" t="s">
        <v>244</v>
      </c>
      <c r="N55" s="226" t="s">
        <v>252</v>
      </c>
      <c r="O55" s="226"/>
      <c r="P55" s="226"/>
      <c r="Q55" s="226"/>
      <c r="R55" s="226"/>
      <c r="S55" s="226"/>
      <c r="T55" s="226"/>
      <c r="U55" s="226"/>
      <c r="V55" s="226"/>
      <c r="W55" s="226"/>
    </row>
    <row r="56" spans="2:23" ht="12" customHeight="1" x14ac:dyDescent="0.15">
      <c r="B56" s="64" t="s">
        <v>28</v>
      </c>
      <c r="C56" s="96">
        <f>ABS(C55/C66)</f>
        <v>0.1823928822289862</v>
      </c>
      <c r="D56" s="96">
        <f>ABS(D55/D66)</f>
        <v>0.1906474820143885</v>
      </c>
      <c r="E56" s="96">
        <f>ABS(E55/E66)</f>
        <v>0.18003623785208367</v>
      </c>
      <c r="F56" s="64"/>
      <c r="G56" s="88">
        <f>CHOOSE($C$5,G57,G58,G59)</f>
        <v>0.2</v>
      </c>
      <c r="H56" s="88">
        <f t="shared" ref="H56" si="36">CHOOSE($C$5,H57,H58,H59)</f>
        <v>0.2</v>
      </c>
      <c r="I56" s="88">
        <f t="shared" ref="I56" si="37">CHOOSE($C$5,I57,I58,I59)</f>
        <v>0.2</v>
      </c>
      <c r="J56" s="88">
        <f t="shared" ref="J56" si="38">CHOOSE($C$5,J57,J58,J59)</f>
        <v>0.2</v>
      </c>
      <c r="K56" s="88">
        <f t="shared" ref="K56" si="39">CHOOSE($C$5,K57,K58,K59)</f>
        <v>0.2</v>
      </c>
      <c r="M56" s="98" t="s">
        <v>245</v>
      </c>
      <c r="N56" s="226" t="s">
        <v>253</v>
      </c>
      <c r="O56" s="226"/>
      <c r="P56" s="226"/>
      <c r="Q56" s="226"/>
      <c r="R56" s="226"/>
      <c r="S56" s="226"/>
      <c r="T56" s="226"/>
      <c r="U56" s="226"/>
      <c r="V56" s="226"/>
      <c r="W56" s="226"/>
    </row>
    <row r="57" spans="2:23" ht="12" customHeight="1" x14ac:dyDescent="0.15">
      <c r="B57" s="11" t="s">
        <v>23</v>
      </c>
      <c r="C57" s="20"/>
      <c r="D57" s="20"/>
      <c r="E57" s="20"/>
      <c r="G57" s="50">
        <v>0.18</v>
      </c>
      <c r="H57" s="50">
        <v>0.18</v>
      </c>
      <c r="I57" s="50">
        <v>0.18</v>
      </c>
      <c r="J57" s="50">
        <v>0.18</v>
      </c>
      <c r="K57" s="50">
        <v>0.18</v>
      </c>
      <c r="M57" s="98" t="s">
        <v>246</v>
      </c>
      <c r="N57" s="226" t="s">
        <v>254</v>
      </c>
      <c r="O57" s="226"/>
      <c r="P57" s="226"/>
      <c r="Q57" s="226"/>
      <c r="R57" s="226"/>
      <c r="S57" s="226"/>
      <c r="T57" s="226"/>
      <c r="U57" s="226"/>
      <c r="V57" s="226"/>
      <c r="W57" s="226"/>
    </row>
    <row r="58" spans="2:23" ht="12" customHeight="1" x14ac:dyDescent="0.15">
      <c r="B58" s="11" t="s">
        <v>24</v>
      </c>
      <c r="C58" s="20"/>
      <c r="D58" s="20"/>
      <c r="E58" s="20"/>
      <c r="G58" s="50">
        <v>0.2</v>
      </c>
      <c r="H58" s="50">
        <v>0.2</v>
      </c>
      <c r="I58" s="50">
        <v>0.2</v>
      </c>
      <c r="J58" s="50">
        <v>0.2</v>
      </c>
      <c r="K58" s="50">
        <v>0.2</v>
      </c>
      <c r="M58" s="227" t="s">
        <v>259</v>
      </c>
      <c r="N58" s="227"/>
      <c r="O58" s="227"/>
      <c r="P58" s="227"/>
      <c r="Q58" s="227"/>
      <c r="R58" s="227"/>
      <c r="S58" s="227"/>
      <c r="T58" s="227"/>
      <c r="U58" s="227"/>
      <c r="V58" s="227"/>
      <c r="W58" s="227"/>
    </row>
    <row r="59" spans="2:23" ht="12" customHeight="1" x14ac:dyDescent="0.15">
      <c r="B59" s="11" t="s">
        <v>25</v>
      </c>
      <c r="C59" s="20"/>
      <c r="D59" s="20"/>
      <c r="E59" s="20"/>
      <c r="G59" s="50">
        <v>0.22</v>
      </c>
      <c r="H59" s="50">
        <v>0.22</v>
      </c>
      <c r="I59" s="50">
        <v>0.22</v>
      </c>
      <c r="J59" s="50">
        <v>0.22</v>
      </c>
      <c r="K59" s="50">
        <v>0.22</v>
      </c>
      <c r="M59" s="98" t="s">
        <v>284</v>
      </c>
      <c r="N59" s="226" t="s">
        <v>289</v>
      </c>
      <c r="O59" s="226"/>
      <c r="P59" s="226"/>
      <c r="Q59" s="226"/>
      <c r="R59" s="226"/>
      <c r="S59" s="226"/>
      <c r="T59" s="226"/>
      <c r="U59" s="226"/>
      <c r="V59" s="226"/>
      <c r="W59" s="226"/>
    </row>
    <row r="60" spans="2:23" ht="12" customHeight="1" x14ac:dyDescent="0.15">
      <c r="M60" s="98" t="s">
        <v>285</v>
      </c>
      <c r="N60" s="226" t="s">
        <v>290</v>
      </c>
      <c r="O60" s="226"/>
      <c r="P60" s="226"/>
      <c r="Q60" s="226"/>
      <c r="R60" s="226"/>
      <c r="S60" s="226"/>
      <c r="T60" s="226"/>
      <c r="U60" s="226"/>
      <c r="V60" s="226"/>
      <c r="W60" s="226"/>
    </row>
    <row r="61" spans="2:23" x14ac:dyDescent="0.15">
      <c r="M61" s="98" t="s">
        <v>286</v>
      </c>
      <c r="N61" s="226" t="s">
        <v>291</v>
      </c>
      <c r="O61" s="226"/>
      <c r="P61" s="226"/>
      <c r="Q61" s="226"/>
      <c r="R61" s="226"/>
      <c r="S61" s="226"/>
      <c r="T61" s="226"/>
      <c r="U61" s="226"/>
      <c r="V61" s="226"/>
      <c r="W61" s="226"/>
    </row>
    <row r="62" spans="2:23" x14ac:dyDescent="0.15">
      <c r="B62" s="82" t="s">
        <v>84</v>
      </c>
      <c r="C62" s="78">
        <f>SUM(C7,C13)+SUM(C19,C25)</f>
        <v>5161</v>
      </c>
      <c r="D62" s="78">
        <f>SUM(D7,D13)+SUM(D19,D25)</f>
        <v>6563</v>
      </c>
      <c r="E62" s="78">
        <f t="shared" ref="E62:K62" si="40">SUM(E7,E13)+SUM(E19,E25)</f>
        <v>7460</v>
      </c>
      <c r="F62" s="78">
        <f t="shared" si="40"/>
        <v>0</v>
      </c>
      <c r="G62" s="78">
        <f t="shared" si="40"/>
        <v>7786.8887749999994</v>
      </c>
      <c r="H62" s="78">
        <f t="shared" si="40"/>
        <v>8168.2846898749995</v>
      </c>
      <c r="I62" s="78">
        <f t="shared" si="40"/>
        <v>8568.7025761193727</v>
      </c>
      <c r="J62" s="78">
        <f t="shared" si="40"/>
        <v>8989.1099717567486</v>
      </c>
      <c r="K62" s="83">
        <f t="shared" si="40"/>
        <v>9430.5246469805206</v>
      </c>
      <c r="M62" s="98" t="s">
        <v>287</v>
      </c>
      <c r="N62" s="226" t="s">
        <v>292</v>
      </c>
      <c r="O62" s="226"/>
      <c r="P62" s="226"/>
      <c r="Q62" s="226"/>
      <c r="R62" s="226"/>
      <c r="S62" s="226"/>
      <c r="T62" s="226"/>
      <c r="U62" s="226"/>
      <c r="V62" s="226"/>
      <c r="W62" s="226"/>
    </row>
    <row r="63" spans="2:23" x14ac:dyDescent="0.15">
      <c r="B63" s="99" t="s">
        <v>33</v>
      </c>
      <c r="C63" s="11">
        <f>C64-C37</f>
        <v>6298</v>
      </c>
      <c r="D63" s="11">
        <f t="shared" ref="D63:E63" si="41">D64-D37</f>
        <v>7755</v>
      </c>
      <c r="E63" s="11">
        <f t="shared" si="41"/>
        <v>8722</v>
      </c>
      <c r="F63" s="11">
        <f t="shared" ref="F63" si="42">F64-F37</f>
        <v>0</v>
      </c>
      <c r="G63" s="11">
        <f t="shared" ref="G63" si="43">G64-G37</f>
        <v>9235.3304049999988</v>
      </c>
      <c r="H63" s="11">
        <f t="shared" ref="H63" si="44">H64-H37</f>
        <v>9689.7559596249994</v>
      </c>
      <c r="I63" s="11">
        <f t="shared" ref="I63" si="45">I64-I37</f>
        <v>10166.960805392122</v>
      </c>
      <c r="J63" s="11">
        <f t="shared" ref="J63:K63" si="46">J64-J37</f>
        <v>10668.109818873812</v>
      </c>
      <c r="K63" s="100">
        <f t="shared" si="46"/>
        <v>11194.428684596514</v>
      </c>
      <c r="M63" s="98" t="s">
        <v>288</v>
      </c>
      <c r="N63" s="226" t="s">
        <v>293</v>
      </c>
      <c r="O63" s="226"/>
      <c r="P63" s="226"/>
      <c r="Q63" s="226"/>
      <c r="R63" s="226"/>
      <c r="S63" s="226"/>
      <c r="T63" s="226"/>
      <c r="U63" s="226"/>
      <c r="V63" s="226"/>
      <c r="W63" s="226"/>
    </row>
    <row r="64" spans="2:23" x14ac:dyDescent="0.15">
      <c r="B64" s="99" t="s">
        <v>34</v>
      </c>
      <c r="C64" s="11">
        <f>C62+C31+C65</f>
        <v>4151</v>
      </c>
      <c r="D64" s="11">
        <f>D62+D31+D65</f>
        <v>5443</v>
      </c>
      <c r="E64" s="11">
        <f t="shared" ref="E64:F64" si="47">E62+E31+E65</f>
        <v>6203</v>
      </c>
      <c r="F64" s="11">
        <f t="shared" si="47"/>
        <v>0</v>
      </c>
      <c r="G64" s="11">
        <f t="shared" ref="G64" si="48">G62+G31+G65</f>
        <v>6567.1484549999996</v>
      </c>
      <c r="H64" s="11">
        <f t="shared" ref="H64:I64" si="49">H62+H31+H65</f>
        <v>6887.0457258749993</v>
      </c>
      <c r="I64" s="11">
        <f t="shared" si="49"/>
        <v>7222.8009093633727</v>
      </c>
      <c r="J64" s="11">
        <f t="shared" ref="J64" si="50">J62+J31+J65</f>
        <v>7575.2153636581688</v>
      </c>
      <c r="K64" s="100">
        <f t="shared" ref="K64" si="51">K62+K31+K65</f>
        <v>7945.131773198631</v>
      </c>
    </row>
    <row r="65" spans="2:12" x14ac:dyDescent="0.15">
      <c r="B65" s="99" t="s">
        <v>282</v>
      </c>
      <c r="C65" s="11">
        <f>'P&amp;L source'!F17</f>
        <v>0</v>
      </c>
      <c r="D65" s="11">
        <f>-'P&amp;L source'!G17</f>
        <v>-45</v>
      </c>
      <c r="E65" s="11">
        <f>-'P&amp;L source'!H17</f>
        <v>-123</v>
      </c>
      <c r="G65" s="11">
        <v>0</v>
      </c>
      <c r="H65" s="11">
        <v>0</v>
      </c>
      <c r="I65" s="11">
        <v>0</v>
      </c>
      <c r="J65" s="11">
        <v>0</v>
      </c>
      <c r="K65" s="100">
        <v>0</v>
      </c>
      <c r="L65" s="11" t="s">
        <v>283</v>
      </c>
    </row>
    <row r="66" spans="2:12" x14ac:dyDescent="0.15">
      <c r="B66" s="99" t="s">
        <v>35</v>
      </c>
      <c r="C66" s="11">
        <f t="shared" ref="C66:K66" si="52">C64+C43+C49</f>
        <v>4271</v>
      </c>
      <c r="D66" s="11">
        <f t="shared" si="52"/>
        <v>5282</v>
      </c>
      <c r="E66" s="11">
        <f t="shared" si="52"/>
        <v>6071</v>
      </c>
      <c r="F66" s="11">
        <f t="shared" si="52"/>
        <v>0</v>
      </c>
      <c r="G66" s="11">
        <f t="shared" si="52"/>
        <v>6567.1484549999996</v>
      </c>
      <c r="H66" s="11">
        <f t="shared" si="52"/>
        <v>6887.0457258749993</v>
      </c>
      <c r="I66" s="11">
        <f t="shared" si="52"/>
        <v>7222.8009093633727</v>
      </c>
      <c r="J66" s="11">
        <f t="shared" si="52"/>
        <v>7575.2153636581688</v>
      </c>
      <c r="K66" s="100">
        <f t="shared" si="52"/>
        <v>7945.131773198631</v>
      </c>
    </row>
    <row r="67" spans="2:12" x14ac:dyDescent="0.15">
      <c r="B67" s="84" t="s">
        <v>68</v>
      </c>
      <c r="C67" s="74">
        <f t="shared" ref="C67:K67" si="53">C66+C55</f>
        <v>3492</v>
      </c>
      <c r="D67" s="74">
        <f t="shared" si="53"/>
        <v>4275</v>
      </c>
      <c r="E67" s="74">
        <f t="shared" si="53"/>
        <v>4978</v>
      </c>
      <c r="F67" s="74">
        <f t="shared" si="53"/>
        <v>0</v>
      </c>
      <c r="G67" s="74">
        <f t="shared" si="53"/>
        <v>5253.7187639999993</v>
      </c>
      <c r="H67" s="74">
        <f t="shared" si="53"/>
        <v>5509.6365806999993</v>
      </c>
      <c r="I67" s="74">
        <f t="shared" si="53"/>
        <v>5778.2407274906982</v>
      </c>
      <c r="J67" s="74">
        <f t="shared" si="53"/>
        <v>6060.1722909265354</v>
      </c>
      <c r="K67" s="101">
        <f t="shared" si="53"/>
        <v>6356.1054185589046</v>
      </c>
    </row>
    <row r="69" spans="2:12" x14ac:dyDescent="0.15">
      <c r="B69" s="81"/>
      <c r="C69" s="14"/>
      <c r="D69" s="14"/>
      <c r="E69" s="14"/>
    </row>
    <row r="70" spans="2:12" ht="16" x14ac:dyDescent="0.2">
      <c r="B70" s="102" t="s">
        <v>5</v>
      </c>
      <c r="C70" s="73"/>
      <c r="D70" s="73"/>
      <c r="E70" s="73"/>
      <c r="F70" s="73"/>
      <c r="G70" s="73"/>
      <c r="H70" s="73"/>
      <c r="I70" s="73"/>
      <c r="J70" s="73"/>
      <c r="K70" s="73"/>
    </row>
    <row r="71" spans="2:12" ht="27" thickBot="1" x14ac:dyDescent="0.2">
      <c r="B71" s="12" t="s">
        <v>99</v>
      </c>
      <c r="C71" s="13" t="s">
        <v>181</v>
      </c>
      <c r="D71" s="13" t="s">
        <v>182</v>
      </c>
      <c r="E71" s="13" t="s">
        <v>183</v>
      </c>
      <c r="F71" s="14"/>
      <c r="G71" s="15" t="s">
        <v>184</v>
      </c>
      <c r="H71" s="15" t="s">
        <v>185</v>
      </c>
      <c r="I71" s="15" t="s">
        <v>186</v>
      </c>
      <c r="J71" s="15" t="s">
        <v>187</v>
      </c>
      <c r="K71" s="15" t="s">
        <v>188</v>
      </c>
    </row>
    <row r="72" spans="2:12" x14ac:dyDescent="0.15">
      <c r="B72" s="75" t="s">
        <v>217</v>
      </c>
      <c r="C72" s="76">
        <f>'BS source'!F6</f>
        <v>6766</v>
      </c>
      <c r="D72" s="76">
        <f>'BS source'!G6</f>
        <v>7812</v>
      </c>
      <c r="E72" s="76">
        <f>'BS source'!H6</f>
        <v>8011</v>
      </c>
      <c r="F72" s="75"/>
      <c r="G72" s="87">
        <f>G73*(G7/365)</f>
        <v>8337.4537671232883</v>
      </c>
      <c r="H72" s="87">
        <f>H73*(H7/365)</f>
        <v>8712.6391866438335</v>
      </c>
      <c r="I72" s="87">
        <f t="shared" ref="I72:K72" si="54">I73*(I7/365)</f>
        <v>9104.7079500428063</v>
      </c>
      <c r="J72" s="87">
        <f t="shared" si="54"/>
        <v>9514.4198077947331</v>
      </c>
      <c r="K72" s="87">
        <f t="shared" si="54"/>
        <v>9942.5686991454968</v>
      </c>
    </row>
    <row r="73" spans="2:12" x14ac:dyDescent="0.15">
      <c r="B73" s="22" t="s">
        <v>226</v>
      </c>
      <c r="C73" s="22">
        <f>C72/C7*365</f>
        <v>126.30881751227497</v>
      </c>
      <c r="D73" s="22">
        <f>D72/D7*365</f>
        <v>127.07250768750836</v>
      </c>
      <c r="E73" s="22">
        <f>E72/E7*365</f>
        <v>125.5103661415633</v>
      </c>
      <c r="G73" s="110">
        <f>CHOOSE($C$5,G74,G75,G76)</f>
        <v>125</v>
      </c>
      <c r="H73" s="110">
        <f t="shared" ref="H73:K73" si="55">CHOOSE($C$5,H74,H75,H76)</f>
        <v>125</v>
      </c>
      <c r="I73" s="110">
        <f t="shared" si="55"/>
        <v>125</v>
      </c>
      <c r="J73" s="110">
        <f t="shared" si="55"/>
        <v>125</v>
      </c>
      <c r="K73" s="110">
        <f t="shared" si="55"/>
        <v>125</v>
      </c>
    </row>
    <row r="74" spans="2:12" x14ac:dyDescent="0.15">
      <c r="B74" s="11" t="s">
        <v>23</v>
      </c>
      <c r="C74" s="20"/>
      <c r="D74" s="20"/>
      <c r="E74" s="20"/>
      <c r="G74" s="17">
        <v>122</v>
      </c>
      <c r="H74" s="17">
        <v>122</v>
      </c>
      <c r="I74" s="17">
        <v>122</v>
      </c>
      <c r="J74" s="17">
        <v>122</v>
      </c>
      <c r="K74" s="17">
        <v>122</v>
      </c>
    </row>
    <row r="75" spans="2:12" x14ac:dyDescent="0.15">
      <c r="B75" s="11" t="s">
        <v>24</v>
      </c>
      <c r="C75" s="20"/>
      <c r="D75" s="20"/>
      <c r="E75" s="20"/>
      <c r="G75" s="17">
        <v>125</v>
      </c>
      <c r="H75" s="17">
        <v>125</v>
      </c>
      <c r="I75" s="17">
        <v>125</v>
      </c>
      <c r="J75" s="17">
        <v>125</v>
      </c>
      <c r="K75" s="17">
        <v>125</v>
      </c>
    </row>
    <row r="76" spans="2:12" x14ac:dyDescent="0.15">
      <c r="B76" s="11" t="s">
        <v>25</v>
      </c>
      <c r="C76" s="20"/>
      <c r="D76" s="20"/>
      <c r="E76" s="20"/>
      <c r="G76" s="17">
        <v>130</v>
      </c>
      <c r="H76" s="17">
        <v>130</v>
      </c>
      <c r="I76" s="17">
        <v>130</v>
      </c>
      <c r="J76" s="17">
        <v>130</v>
      </c>
      <c r="K76" s="17">
        <v>130</v>
      </c>
    </row>
    <row r="77" spans="2:12" x14ac:dyDescent="0.15">
      <c r="G77" s="23"/>
      <c r="H77" s="23"/>
      <c r="I77" s="23"/>
      <c r="J77" s="23"/>
      <c r="K77" s="23"/>
    </row>
    <row r="78" spans="2:12" x14ac:dyDescent="0.15">
      <c r="B78" s="75" t="s">
        <v>234</v>
      </c>
      <c r="C78" s="76">
        <f>'BS source'!F5</f>
        <v>1239</v>
      </c>
      <c r="D78" s="76">
        <f>'BS source'!G5</f>
        <v>1089</v>
      </c>
      <c r="E78" s="76">
        <f>'BS source'!H5</f>
        <v>1125</v>
      </c>
      <c r="F78" s="75"/>
      <c r="G78" s="87">
        <f>G79*'Cash Flow'!G27</f>
        <v>1552.8904775749995</v>
      </c>
      <c r="H78" s="87">
        <f>H79*'Cash Flow'!H27</f>
        <v>2074.0122516568745</v>
      </c>
      <c r="I78" s="87">
        <f>I79*'Cash Flow'!I27</f>
        <v>2629.6268235893931</v>
      </c>
      <c r="J78" s="87">
        <f>J79*'Cash Flow'!J27</f>
        <v>3222.951287856853</v>
      </c>
      <c r="K78" s="87">
        <f>K79*'Cash Flow'!K27</f>
        <v>3857.366403310205</v>
      </c>
    </row>
    <row r="79" spans="2:12" x14ac:dyDescent="0.15">
      <c r="B79" s="22" t="s">
        <v>235</v>
      </c>
      <c r="C79" s="24">
        <f>C78/'BS source'!F4</f>
        <v>0.74864048338368583</v>
      </c>
      <c r="D79" s="24">
        <f>D78/'BS source'!G4</f>
        <v>0.37551724137931036</v>
      </c>
      <c r="E79" s="24">
        <f>E78/'BS source'!H4</f>
        <v>0.31743792325056436</v>
      </c>
      <c r="G79" s="109">
        <f>CHOOSE($C$5,G80,G81,G82)</f>
        <v>0.3</v>
      </c>
      <c r="H79" s="109">
        <f t="shared" ref="H79:K79" si="56">CHOOSE($C$5,H80,H81,H82)</f>
        <v>0.3</v>
      </c>
      <c r="I79" s="109">
        <f t="shared" si="56"/>
        <v>0.3</v>
      </c>
      <c r="J79" s="109">
        <f t="shared" si="56"/>
        <v>0.3</v>
      </c>
      <c r="K79" s="109">
        <f t="shared" si="56"/>
        <v>0.3</v>
      </c>
    </row>
    <row r="80" spans="2:12" x14ac:dyDescent="0.15">
      <c r="B80" s="11" t="s">
        <v>23</v>
      </c>
      <c r="C80" s="20"/>
      <c r="D80" s="20"/>
      <c r="E80" s="20"/>
      <c r="G80" s="19">
        <v>0.35</v>
      </c>
      <c r="H80" s="19">
        <v>0.35</v>
      </c>
      <c r="I80" s="19">
        <v>0.35</v>
      </c>
      <c r="J80" s="19">
        <v>0.35</v>
      </c>
      <c r="K80" s="19">
        <v>0.35</v>
      </c>
    </row>
    <row r="81" spans="2:11" x14ac:dyDescent="0.15">
      <c r="B81" s="11" t="s">
        <v>24</v>
      </c>
      <c r="C81" s="20"/>
      <c r="D81" s="20"/>
      <c r="E81" s="20"/>
      <c r="G81" s="19">
        <v>0.3</v>
      </c>
      <c r="H81" s="19">
        <v>0.3</v>
      </c>
      <c r="I81" s="19">
        <v>0.3</v>
      </c>
      <c r="J81" s="19">
        <v>0.3</v>
      </c>
      <c r="K81" s="19">
        <v>0.3</v>
      </c>
    </row>
    <row r="82" spans="2:11" x14ac:dyDescent="0.15">
      <c r="B82" s="11" t="s">
        <v>25</v>
      </c>
      <c r="C82" s="20"/>
      <c r="D82" s="20"/>
      <c r="E82" s="20"/>
      <c r="G82" s="19">
        <v>0.25</v>
      </c>
      <c r="H82" s="19">
        <v>0.25</v>
      </c>
      <c r="I82" s="19">
        <v>0.25</v>
      </c>
      <c r="J82" s="19">
        <v>0.25</v>
      </c>
      <c r="K82" s="19">
        <v>0.25</v>
      </c>
    </row>
    <row r="83" spans="2:11" x14ac:dyDescent="0.15">
      <c r="G83" s="23"/>
      <c r="H83" s="23"/>
      <c r="I83" s="23"/>
      <c r="J83" s="23"/>
      <c r="K83" s="23"/>
    </row>
    <row r="84" spans="2:11" x14ac:dyDescent="0.15">
      <c r="B84" s="75" t="s">
        <v>105</v>
      </c>
      <c r="C84" s="76">
        <f>'BS source'!F7</f>
        <v>3999</v>
      </c>
      <c r="D84" s="76">
        <f>'BS source'!G7</f>
        <v>4387</v>
      </c>
      <c r="E84" s="76">
        <f>'BS source'!H7</f>
        <v>4375</v>
      </c>
      <c r="F84" s="75"/>
      <c r="G84" s="87">
        <f>ABS(G85*(G25/365))</f>
        <v>4810.5994520547938</v>
      </c>
      <c r="H84" s="87">
        <f t="shared" ref="H84:K84" si="57">ABS(H85*(H25/365))</f>
        <v>5099.2354191780823</v>
      </c>
      <c r="I84" s="87">
        <f t="shared" si="57"/>
        <v>5405.1895443287676</v>
      </c>
      <c r="J84" s="87">
        <f t="shared" si="57"/>
        <v>5729.5009169884934</v>
      </c>
      <c r="K84" s="87">
        <f t="shared" si="57"/>
        <v>6073.2709720078037</v>
      </c>
    </row>
    <row r="85" spans="2:11" x14ac:dyDescent="0.15">
      <c r="B85" s="22" t="s">
        <v>227</v>
      </c>
      <c r="C85" s="22">
        <f>ABS(C84/C25*365)</f>
        <v>189.63687150837987</v>
      </c>
      <c r="D85" s="22">
        <f t="shared" ref="D85:E85" si="58">ABS(D84/D25*365)</f>
        <v>171.42222460122042</v>
      </c>
      <c r="E85" s="22">
        <f t="shared" si="58"/>
        <v>145.40839555636495</v>
      </c>
      <c r="G85" s="110">
        <f>CHOOSE($C$5,G86,G87,G88)</f>
        <v>150</v>
      </c>
      <c r="H85" s="110">
        <f t="shared" ref="H85" si="59">CHOOSE($C$5,H86,H87,H88)</f>
        <v>150</v>
      </c>
      <c r="I85" s="110">
        <f t="shared" ref="I85" si="60">CHOOSE($C$5,I86,I87,I88)</f>
        <v>150</v>
      </c>
      <c r="J85" s="110">
        <f t="shared" ref="J85" si="61">CHOOSE($C$5,J86,J87,J88)</f>
        <v>150</v>
      </c>
      <c r="K85" s="110">
        <f t="shared" ref="K85" si="62">CHOOSE($C$5,K86,K87,K88)</f>
        <v>150</v>
      </c>
    </row>
    <row r="86" spans="2:11" x14ac:dyDescent="0.15">
      <c r="B86" s="11" t="s">
        <v>23</v>
      </c>
      <c r="C86" s="20"/>
      <c r="D86" s="20"/>
      <c r="E86" s="20"/>
      <c r="G86" s="17">
        <v>140</v>
      </c>
      <c r="H86" s="17">
        <v>140</v>
      </c>
      <c r="I86" s="17">
        <v>140</v>
      </c>
      <c r="J86" s="17">
        <v>140</v>
      </c>
      <c r="K86" s="17">
        <v>140</v>
      </c>
    </row>
    <row r="87" spans="2:11" x14ac:dyDescent="0.15">
      <c r="B87" s="11" t="s">
        <v>24</v>
      </c>
      <c r="C87" s="20"/>
      <c r="D87" s="20"/>
      <c r="E87" s="20"/>
      <c r="G87" s="17">
        <v>150</v>
      </c>
      <c r="H87" s="17">
        <v>150</v>
      </c>
      <c r="I87" s="17">
        <v>150</v>
      </c>
      <c r="J87" s="17">
        <v>150</v>
      </c>
      <c r="K87" s="17">
        <v>150</v>
      </c>
    </row>
    <row r="88" spans="2:11" x14ac:dyDescent="0.15">
      <c r="B88" s="11" t="s">
        <v>25</v>
      </c>
      <c r="C88" s="20"/>
      <c r="D88" s="20"/>
      <c r="E88" s="20"/>
      <c r="G88" s="17">
        <v>160</v>
      </c>
      <c r="H88" s="17">
        <v>160</v>
      </c>
      <c r="I88" s="17">
        <v>160</v>
      </c>
      <c r="J88" s="17">
        <v>160</v>
      </c>
      <c r="K88" s="17">
        <v>160</v>
      </c>
    </row>
    <row r="89" spans="2:11" x14ac:dyDescent="0.15">
      <c r="G89" s="23"/>
      <c r="H89" s="23"/>
      <c r="I89" s="23"/>
      <c r="J89" s="23"/>
      <c r="K89" s="23"/>
    </row>
    <row r="90" spans="2:11" x14ac:dyDescent="0.15">
      <c r="B90" s="75" t="s">
        <v>218</v>
      </c>
      <c r="C90" s="76">
        <f>'BS source'!F8</f>
        <v>1344</v>
      </c>
      <c r="D90" s="76">
        <f>'BS source'!G8</f>
        <v>1530</v>
      </c>
      <c r="E90" s="76">
        <f>'BS source'!H8</f>
        <v>1515</v>
      </c>
      <c r="F90" s="75"/>
      <c r="G90" s="87">
        <f>G91*SUM(G7,G13)</f>
        <v>1600.9091699999999</v>
      </c>
      <c r="H90" s="87">
        <f t="shared" ref="H90:K90" si="63">H91*SUM(H7,H13)</f>
        <v>1681.6261402499999</v>
      </c>
      <c r="I90" s="87">
        <f t="shared" si="63"/>
        <v>1766.4959376172501</v>
      </c>
      <c r="J90" s="87">
        <f t="shared" si="63"/>
        <v>1855.7366731293864</v>
      </c>
      <c r="K90" s="87">
        <f t="shared" si="63"/>
        <v>1949.5781468387304</v>
      </c>
    </row>
    <row r="91" spans="2:11" x14ac:dyDescent="0.15">
      <c r="B91" s="22" t="s">
        <v>29</v>
      </c>
      <c r="C91" s="24">
        <f>C90/SUM(C7,C13)</f>
        <v>4.7844505357587837E-2</v>
      </c>
      <c r="D91" s="24">
        <f>D90/SUM(D7,D13)</f>
        <v>4.6174739701222274E-2</v>
      </c>
      <c r="E91" s="24">
        <f>E90/SUM(E7,E13)</f>
        <v>4.174818815619058E-2</v>
      </c>
      <c r="G91" s="111">
        <f>CHOOSE($C$5,G92,G93,G94)</f>
        <v>4.2000000000000003E-2</v>
      </c>
      <c r="H91" s="111">
        <f t="shared" ref="H91" si="64">CHOOSE($C$5,H92,H93,H94)</f>
        <v>4.2000000000000003E-2</v>
      </c>
      <c r="I91" s="111">
        <f t="shared" ref="I91" si="65">CHOOSE($C$5,I92,I93,I94)</f>
        <v>4.2000000000000003E-2</v>
      </c>
      <c r="J91" s="111">
        <f t="shared" ref="J91" si="66">CHOOSE($C$5,J92,J93,J94)</f>
        <v>4.2000000000000003E-2</v>
      </c>
      <c r="K91" s="111">
        <f t="shared" ref="K91" si="67">CHOOSE($C$5,K92,K93,K94)</f>
        <v>4.2000000000000003E-2</v>
      </c>
    </row>
    <row r="92" spans="2:11" x14ac:dyDescent="0.15">
      <c r="B92" s="11" t="s">
        <v>23</v>
      </c>
      <c r="C92" s="20"/>
      <c r="D92" s="20"/>
      <c r="E92" s="20"/>
      <c r="G92" s="50">
        <v>0.04</v>
      </c>
      <c r="H92" s="50">
        <v>0.04</v>
      </c>
      <c r="I92" s="50">
        <v>0.04</v>
      </c>
      <c r="J92" s="50">
        <v>0.04</v>
      </c>
      <c r="K92" s="50">
        <v>0.04</v>
      </c>
    </row>
    <row r="93" spans="2:11" x14ac:dyDescent="0.15">
      <c r="B93" s="11" t="s">
        <v>24</v>
      </c>
      <c r="C93" s="20"/>
      <c r="D93" s="20"/>
      <c r="E93" s="20"/>
      <c r="G93" s="50">
        <v>4.2000000000000003E-2</v>
      </c>
      <c r="H93" s="50">
        <v>4.2000000000000003E-2</v>
      </c>
      <c r="I93" s="50">
        <v>4.2000000000000003E-2</v>
      </c>
      <c r="J93" s="50">
        <v>4.2000000000000003E-2</v>
      </c>
      <c r="K93" s="50">
        <v>4.2000000000000003E-2</v>
      </c>
    </row>
    <row r="94" spans="2:11" x14ac:dyDescent="0.15">
      <c r="B94" s="11" t="s">
        <v>25</v>
      </c>
      <c r="C94" s="20"/>
      <c r="D94" s="20"/>
      <c r="E94" s="20"/>
      <c r="G94" s="50">
        <v>4.4999999999999998E-2</v>
      </c>
      <c r="H94" s="50">
        <v>4.4999999999999998E-2</v>
      </c>
      <c r="I94" s="50">
        <v>4.4999999999999998E-2</v>
      </c>
      <c r="J94" s="50">
        <v>4.4999999999999998E-2</v>
      </c>
      <c r="K94" s="50">
        <v>4.4999999999999998E-2</v>
      </c>
    </row>
    <row r="95" spans="2:11" x14ac:dyDescent="0.15">
      <c r="G95" s="23"/>
      <c r="H95" s="23"/>
      <c r="I95" s="23"/>
      <c r="J95" s="23"/>
      <c r="K95" s="23"/>
    </row>
    <row r="96" spans="2:11" x14ac:dyDescent="0.15">
      <c r="B96" s="75" t="s">
        <v>237</v>
      </c>
      <c r="C96" s="76">
        <f>'BS source'!N4</f>
        <v>9121</v>
      </c>
      <c r="D96" s="76">
        <f>'BS source'!O4</f>
        <v>10904</v>
      </c>
      <c r="E96" s="76">
        <f>'BS source'!P4</f>
        <v>10375</v>
      </c>
      <c r="F96" s="75"/>
      <c r="G96" s="87">
        <f>ABS(G97*(SUM(G19,G25)/365))</f>
        <v>12048.902609931505</v>
      </c>
      <c r="H96" s="87">
        <f t="shared" ref="H96:K96" si="68">ABS(H97*(SUM(H19,H25)/365))</f>
        <v>12660.856919433218</v>
      </c>
      <c r="I96" s="87">
        <f t="shared" si="68"/>
        <v>13304.534394385795</v>
      </c>
      <c r="J96" s="87">
        <f t="shared" si="68"/>
        <v>13981.613690525925</v>
      </c>
      <c r="K96" s="87">
        <f t="shared" si="68"/>
        <v>14693.864069895923</v>
      </c>
    </row>
    <row r="97" spans="2:11" x14ac:dyDescent="0.15">
      <c r="B97" s="22" t="s">
        <v>232</v>
      </c>
      <c r="C97" s="22">
        <f>ABS(C96/SUM(C19,C25)*365)</f>
        <v>145.18818142171827</v>
      </c>
      <c r="D97" s="22">
        <f>ABS(D96/SUM(D19,D25)*365)</f>
        <v>149.7802197802198</v>
      </c>
      <c r="E97" s="22">
        <f>ABS(E96/SUM(E19,E25)*365)</f>
        <v>131.3564466335981</v>
      </c>
      <c r="G97" s="110">
        <f>CHOOSE($C$5,G98,G99,G100)</f>
        <v>145</v>
      </c>
      <c r="H97" s="110">
        <f t="shared" ref="H97" si="69">CHOOSE($C$5,H98,H99,H100)</f>
        <v>145</v>
      </c>
      <c r="I97" s="110">
        <f t="shared" ref="I97" si="70">CHOOSE($C$5,I98,I99,I100)</f>
        <v>145</v>
      </c>
      <c r="J97" s="110">
        <f t="shared" ref="J97" si="71">CHOOSE($C$5,J98,J99,J100)</f>
        <v>145</v>
      </c>
      <c r="K97" s="110">
        <f t="shared" ref="K97" si="72">CHOOSE($C$5,K98,K99,K100)</f>
        <v>145</v>
      </c>
    </row>
    <row r="98" spans="2:11" x14ac:dyDescent="0.15">
      <c r="B98" s="11" t="s">
        <v>23</v>
      </c>
      <c r="C98" s="20"/>
      <c r="D98" s="20"/>
      <c r="E98" s="20"/>
      <c r="G98" s="17">
        <v>150</v>
      </c>
      <c r="H98" s="17">
        <v>150</v>
      </c>
      <c r="I98" s="17">
        <v>150</v>
      </c>
      <c r="J98" s="17">
        <v>150</v>
      </c>
      <c r="K98" s="17">
        <v>150</v>
      </c>
    </row>
    <row r="99" spans="2:11" x14ac:dyDescent="0.15">
      <c r="B99" s="11" t="s">
        <v>24</v>
      </c>
      <c r="C99" s="20"/>
      <c r="D99" s="20"/>
      <c r="E99" s="20"/>
      <c r="G99" s="17">
        <v>145</v>
      </c>
      <c r="H99" s="17">
        <v>145</v>
      </c>
      <c r="I99" s="17">
        <v>145</v>
      </c>
      <c r="J99" s="17">
        <v>145</v>
      </c>
      <c r="K99" s="17">
        <v>145</v>
      </c>
    </row>
    <row r="100" spans="2:11" x14ac:dyDescent="0.15">
      <c r="B100" s="11" t="s">
        <v>25</v>
      </c>
      <c r="C100" s="20"/>
      <c r="D100" s="20"/>
      <c r="E100" s="20"/>
      <c r="G100" s="17">
        <v>140</v>
      </c>
      <c r="H100" s="17">
        <v>140</v>
      </c>
      <c r="I100" s="17">
        <v>140</v>
      </c>
      <c r="J100" s="17">
        <v>140</v>
      </c>
      <c r="K100" s="17">
        <v>140</v>
      </c>
    </row>
    <row r="101" spans="2:11" x14ac:dyDescent="0.15">
      <c r="G101" s="23"/>
      <c r="H101" s="23"/>
      <c r="I101" s="23"/>
      <c r="J101" s="23"/>
      <c r="K101" s="23"/>
    </row>
    <row r="102" spans="2:11" x14ac:dyDescent="0.15">
      <c r="B102" s="75" t="s">
        <v>222</v>
      </c>
      <c r="C102" s="76">
        <f>'BS source'!N5</f>
        <v>1002</v>
      </c>
      <c r="D102" s="76">
        <f>'BS source'!O5</f>
        <v>994</v>
      </c>
      <c r="E102" s="76">
        <f>'BS source'!P5</f>
        <v>982</v>
      </c>
      <c r="F102" s="75"/>
      <c r="G102" s="87">
        <f>-G103*G55</f>
        <v>1313.429691</v>
      </c>
      <c r="H102" s="87">
        <f t="shared" ref="H102:K102" si="73">-H103*H55</f>
        <v>1377.409145175</v>
      </c>
      <c r="I102" s="87">
        <f t="shared" si="73"/>
        <v>1444.5601818726745</v>
      </c>
      <c r="J102" s="87">
        <f t="shared" si="73"/>
        <v>1515.0430727316339</v>
      </c>
      <c r="K102" s="87">
        <f t="shared" si="73"/>
        <v>1589.0263546397264</v>
      </c>
    </row>
    <row r="103" spans="2:11" x14ac:dyDescent="0.15">
      <c r="B103" s="22" t="s">
        <v>233</v>
      </c>
      <c r="C103" s="24">
        <f>-C102/C55</f>
        <v>1.2862644415917843</v>
      </c>
      <c r="D103" s="24">
        <f>-D102/D55</f>
        <v>0.98709036742800393</v>
      </c>
      <c r="E103" s="24">
        <f>-E102/E55</f>
        <v>0.898444647758463</v>
      </c>
      <c r="G103" s="109">
        <f>CHOOSE($C$5,G104,G105,G106)</f>
        <v>1</v>
      </c>
      <c r="H103" s="109">
        <f t="shared" ref="H103" si="74">CHOOSE($C$5,H104,H105,H106)</f>
        <v>1</v>
      </c>
      <c r="I103" s="109">
        <f t="shared" ref="I103" si="75">CHOOSE($C$5,I104,I105,I106)</f>
        <v>1</v>
      </c>
      <c r="J103" s="109">
        <f t="shared" ref="J103" si="76">CHOOSE($C$5,J104,J105,J106)</f>
        <v>1</v>
      </c>
      <c r="K103" s="109">
        <f t="shared" ref="K103" si="77">CHOOSE($C$5,K104,K105,K106)</f>
        <v>1</v>
      </c>
    </row>
    <row r="104" spans="2:11" x14ac:dyDescent="0.15">
      <c r="B104" s="11" t="s">
        <v>23</v>
      </c>
      <c r="C104" s="20"/>
      <c r="D104" s="20"/>
      <c r="E104" s="20"/>
      <c r="G104" s="19">
        <v>0.95</v>
      </c>
      <c r="H104" s="19">
        <v>0.95</v>
      </c>
      <c r="I104" s="19">
        <v>0.95</v>
      </c>
      <c r="J104" s="19">
        <v>0.95</v>
      </c>
      <c r="K104" s="19">
        <v>0.95</v>
      </c>
    </row>
    <row r="105" spans="2:11" x14ac:dyDescent="0.15">
      <c r="B105" s="11" t="s">
        <v>24</v>
      </c>
      <c r="C105" s="20"/>
      <c r="D105" s="20"/>
      <c r="E105" s="20"/>
      <c r="G105" s="19">
        <v>1</v>
      </c>
      <c r="H105" s="19">
        <v>1</v>
      </c>
      <c r="I105" s="19">
        <v>1</v>
      </c>
      <c r="J105" s="19">
        <v>1</v>
      </c>
      <c r="K105" s="19">
        <v>1</v>
      </c>
    </row>
    <row r="106" spans="2:11" x14ac:dyDescent="0.15">
      <c r="B106" s="11" t="s">
        <v>25</v>
      </c>
      <c r="C106" s="20"/>
      <c r="D106" s="20"/>
      <c r="E106" s="20"/>
      <c r="G106" s="19">
        <v>1.05</v>
      </c>
      <c r="H106" s="19">
        <v>1.05</v>
      </c>
      <c r="I106" s="19">
        <v>1.05</v>
      </c>
      <c r="J106" s="19">
        <v>1.05</v>
      </c>
      <c r="K106" s="19">
        <v>1.05</v>
      </c>
    </row>
    <row r="107" spans="2:11" x14ac:dyDescent="0.15">
      <c r="G107" s="23"/>
      <c r="H107" s="23"/>
      <c r="I107" s="23"/>
      <c r="J107" s="23"/>
      <c r="K107" s="23"/>
    </row>
    <row r="108" spans="2:11" x14ac:dyDescent="0.15">
      <c r="B108" s="75" t="s">
        <v>223</v>
      </c>
      <c r="C108" s="76">
        <f>'BS source'!N6</f>
        <v>1632</v>
      </c>
      <c r="D108" s="76">
        <f>'BS source'!O6</f>
        <v>1123</v>
      </c>
      <c r="E108" s="76">
        <f>'BS source'!P6</f>
        <v>1051</v>
      </c>
      <c r="G108" s="87">
        <f>G109*SUM(E108,E114)</f>
        <v>1086.6599999999999</v>
      </c>
      <c r="H108" s="87">
        <f>H109*SUM(G108,G114)</f>
        <v>1089.8694</v>
      </c>
      <c r="I108" s="87">
        <f>I109*SUM(H108,H114)</f>
        <v>1090.158246</v>
      </c>
      <c r="J108" s="87">
        <f>J109*SUM(I108,I114)</f>
        <v>1090.1842421399999</v>
      </c>
      <c r="K108" s="87">
        <f>K109*SUM(J108,J114)</f>
        <v>1090.1865817926</v>
      </c>
    </row>
    <row r="109" spans="2:11" x14ac:dyDescent="0.15">
      <c r="B109" s="22" t="s">
        <v>256</v>
      </c>
      <c r="C109" s="22">
        <v>0</v>
      </c>
      <c r="D109" s="24">
        <f>D108/SUM(C108,C114)</f>
        <v>9.1853427122525769E-2</v>
      </c>
      <c r="E109" s="24">
        <f>E108/SUM(D108,D114)</f>
        <v>8.7839531968240708E-2</v>
      </c>
      <c r="G109" s="109">
        <f>CHOOSE($C$5,G110,G111,G112)</f>
        <v>0.09</v>
      </c>
      <c r="H109" s="109">
        <f t="shared" ref="H109" si="78">CHOOSE($C$5,H110,H111,H112)</f>
        <v>0.09</v>
      </c>
      <c r="I109" s="109">
        <f t="shared" ref="I109" si="79">CHOOSE($C$5,I110,I111,I112)</f>
        <v>0.09</v>
      </c>
      <c r="J109" s="109">
        <f t="shared" ref="J109" si="80">CHOOSE($C$5,J110,J111,J112)</f>
        <v>0.09</v>
      </c>
      <c r="K109" s="109">
        <f t="shared" ref="K109" si="81">CHOOSE($C$5,K110,K111,K112)</f>
        <v>0.09</v>
      </c>
    </row>
    <row r="110" spans="2:11" x14ac:dyDescent="0.15">
      <c r="B110" s="11" t="s">
        <v>23</v>
      </c>
      <c r="C110" s="20"/>
      <c r="D110" s="20"/>
      <c r="E110" s="20"/>
      <c r="G110" s="19">
        <v>0.08</v>
      </c>
      <c r="H110" s="19">
        <v>0.08</v>
      </c>
      <c r="I110" s="19">
        <v>0.08</v>
      </c>
      <c r="J110" s="19">
        <v>0.08</v>
      </c>
      <c r="K110" s="19">
        <v>0.08</v>
      </c>
    </row>
    <row r="111" spans="2:11" x14ac:dyDescent="0.15">
      <c r="B111" s="11" t="s">
        <v>24</v>
      </c>
      <c r="C111" s="20"/>
      <c r="D111" s="20"/>
      <c r="E111" s="20"/>
      <c r="G111" s="19">
        <v>0.09</v>
      </c>
      <c r="H111" s="19">
        <v>0.09</v>
      </c>
      <c r="I111" s="19">
        <v>0.09</v>
      </c>
      <c r="J111" s="19">
        <v>0.09</v>
      </c>
      <c r="K111" s="19">
        <v>0.09</v>
      </c>
    </row>
    <row r="112" spans="2:11" x14ac:dyDescent="0.15">
      <c r="B112" s="11" t="s">
        <v>25</v>
      </c>
      <c r="C112" s="20"/>
      <c r="D112" s="20"/>
      <c r="E112" s="20"/>
      <c r="G112" s="19">
        <v>0.1</v>
      </c>
      <c r="H112" s="19">
        <v>0.1</v>
      </c>
      <c r="I112" s="19">
        <v>0.1</v>
      </c>
      <c r="J112" s="19">
        <v>0.1</v>
      </c>
      <c r="K112" s="19">
        <v>0.1</v>
      </c>
    </row>
    <row r="113" spans="2:11" x14ac:dyDescent="0.15">
      <c r="G113" s="23"/>
      <c r="H113" s="23"/>
      <c r="I113" s="23"/>
      <c r="J113" s="23"/>
      <c r="K113" s="23"/>
    </row>
    <row r="114" spans="2:11" x14ac:dyDescent="0.15">
      <c r="B114" s="75" t="s">
        <v>116</v>
      </c>
      <c r="C114" s="76">
        <f>'BS source'!N10</f>
        <v>10594</v>
      </c>
      <c r="D114" s="76">
        <f>'BS source'!O10</f>
        <v>10842</v>
      </c>
      <c r="E114" s="76">
        <f>'BS source'!P10</f>
        <v>11023</v>
      </c>
      <c r="G114" s="87">
        <f>E114+G115</f>
        <v>11023</v>
      </c>
      <c r="H114" s="87">
        <f>G114+H115</f>
        <v>11023</v>
      </c>
      <c r="I114" s="87">
        <f>H114+I115</f>
        <v>11023</v>
      </c>
      <c r="J114" s="87">
        <f>I114+J115</f>
        <v>11023</v>
      </c>
      <c r="K114" s="87">
        <f>J114+K115</f>
        <v>11023</v>
      </c>
    </row>
    <row r="115" spans="2:11" x14ac:dyDescent="0.15">
      <c r="B115" s="22" t="s">
        <v>255</v>
      </c>
      <c r="C115" s="22">
        <v>0</v>
      </c>
      <c r="D115" s="22">
        <f>D114-C114</f>
        <v>248</v>
      </c>
      <c r="E115" s="22">
        <f>E114-D114</f>
        <v>181</v>
      </c>
      <c r="G115" s="112">
        <f>CHOOSE($C$5,G116,G117,G118)</f>
        <v>0</v>
      </c>
      <c r="H115" s="112">
        <f t="shared" ref="H115" si="82">CHOOSE($C$5,H116,H117,H118)</f>
        <v>0</v>
      </c>
      <c r="I115" s="112">
        <f t="shared" ref="I115" si="83">CHOOSE($C$5,I116,I117,I118)</f>
        <v>0</v>
      </c>
      <c r="J115" s="112">
        <f t="shared" ref="J115" si="84">CHOOSE($C$5,J116,J117,J118)</f>
        <v>0</v>
      </c>
      <c r="K115" s="112">
        <f t="shared" ref="K115" si="85">CHOOSE($C$5,K116,K117,K118)</f>
        <v>0</v>
      </c>
    </row>
    <row r="116" spans="2:11" x14ac:dyDescent="0.15">
      <c r="B116" s="11" t="s">
        <v>23</v>
      </c>
      <c r="C116" s="20"/>
      <c r="D116" s="20"/>
      <c r="E116" s="20"/>
      <c r="G116" s="114">
        <v>-250</v>
      </c>
      <c r="H116" s="114">
        <v>-250</v>
      </c>
      <c r="I116" s="114">
        <v>-250</v>
      </c>
      <c r="J116" s="114">
        <v>-250</v>
      </c>
      <c r="K116" s="114">
        <v>-250</v>
      </c>
    </row>
    <row r="117" spans="2:11" x14ac:dyDescent="0.15">
      <c r="B117" s="11" t="s">
        <v>24</v>
      </c>
      <c r="C117" s="20"/>
      <c r="D117" s="20"/>
      <c r="E117" s="20"/>
      <c r="G117" s="114">
        <v>0</v>
      </c>
      <c r="H117" s="114">
        <v>0</v>
      </c>
      <c r="I117" s="114">
        <v>0</v>
      </c>
      <c r="J117" s="114">
        <v>0</v>
      </c>
      <c r="K117" s="114">
        <v>0</v>
      </c>
    </row>
    <row r="118" spans="2:11" x14ac:dyDescent="0.15">
      <c r="B118" s="11" t="s">
        <v>25</v>
      </c>
      <c r="C118" s="20"/>
      <c r="D118" s="20"/>
      <c r="E118" s="20"/>
      <c r="G118" s="114">
        <v>500</v>
      </c>
      <c r="H118" s="114">
        <v>500</v>
      </c>
      <c r="I118" s="114">
        <v>500</v>
      </c>
      <c r="J118" s="114">
        <v>500</v>
      </c>
      <c r="K118" s="114">
        <v>500</v>
      </c>
    </row>
    <row r="121" spans="2:11" ht="16" x14ac:dyDescent="0.2">
      <c r="B121" s="102" t="s">
        <v>259</v>
      </c>
      <c r="C121" s="73"/>
      <c r="D121" s="73"/>
      <c r="E121" s="73"/>
      <c r="F121" s="73"/>
      <c r="G121" s="73"/>
      <c r="H121" s="73"/>
      <c r="I121" s="73"/>
      <c r="J121" s="73"/>
      <c r="K121" s="73"/>
    </row>
    <row r="122" spans="2:11" ht="27" thickBot="1" x14ac:dyDescent="0.2">
      <c r="B122" s="12" t="s">
        <v>99</v>
      </c>
      <c r="C122" s="13" t="s">
        <v>181</v>
      </c>
      <c r="D122" s="13" t="s">
        <v>182</v>
      </c>
      <c r="E122" s="13" t="s">
        <v>183</v>
      </c>
      <c r="F122" s="14"/>
      <c r="G122" s="15" t="s">
        <v>184</v>
      </c>
      <c r="H122" s="15" t="s">
        <v>185</v>
      </c>
      <c r="I122" s="15" t="s">
        <v>186</v>
      </c>
      <c r="J122" s="15" t="s">
        <v>187</v>
      </c>
      <c r="K122" s="15" t="s">
        <v>188</v>
      </c>
    </row>
    <row r="123" spans="2:11" x14ac:dyDescent="0.15">
      <c r="B123" s="75" t="s">
        <v>279</v>
      </c>
      <c r="C123" s="76">
        <f>SUM('CF source'!D14:D21)</f>
        <v>-1750</v>
      </c>
      <c r="D123" s="76">
        <f>SUM('CF source'!E14:E21)</f>
        <v>-249</v>
      </c>
      <c r="E123" s="76">
        <f>SUM('CF source'!F14:F21)</f>
        <v>-1294</v>
      </c>
      <c r="F123" s="75"/>
      <c r="G123" s="87">
        <f>G124*SUM(G7,G13)</f>
        <v>-381.16884999999996</v>
      </c>
      <c r="H123" s="87">
        <f t="shared" ref="H123:K123" si="86">H124*SUM(H7,H13)</f>
        <v>-400.38717624999998</v>
      </c>
      <c r="I123" s="87">
        <f t="shared" si="86"/>
        <v>-420.59427086124998</v>
      </c>
      <c r="J123" s="87">
        <f t="shared" si="86"/>
        <v>-441.84206503080628</v>
      </c>
      <c r="K123" s="87">
        <f t="shared" si="86"/>
        <v>-464.18527305684051</v>
      </c>
    </row>
    <row r="124" spans="2:11" x14ac:dyDescent="0.15">
      <c r="B124" s="22" t="s">
        <v>29</v>
      </c>
      <c r="C124" s="24">
        <f>ABS(C123/SUM(C7,C13))</f>
        <v>6.2297533017692502E-2</v>
      </c>
      <c r="D124" s="24">
        <f t="shared" ref="D124:E124" si="87">ABS(D123/SUM(D7,D13))</f>
        <v>7.5147125396106832E-3</v>
      </c>
      <c r="E124" s="24">
        <f t="shared" si="87"/>
        <v>3.565818843175618E-2</v>
      </c>
      <c r="G124" s="111">
        <f>CHOOSE($C$5,G125,G126,G127)</f>
        <v>-0.01</v>
      </c>
      <c r="H124" s="111">
        <f t="shared" ref="H124" si="88">CHOOSE($C$5,H125,H126,H127)</f>
        <v>-0.01</v>
      </c>
      <c r="I124" s="111">
        <f t="shared" ref="I124" si="89">CHOOSE($C$5,I125,I126,I127)</f>
        <v>-0.01</v>
      </c>
      <c r="J124" s="111">
        <f t="shared" ref="J124" si="90">CHOOSE($C$5,J125,J126,J127)</f>
        <v>-0.01</v>
      </c>
      <c r="K124" s="111">
        <f t="shared" ref="K124" si="91">CHOOSE($C$5,K125,K126,K127)</f>
        <v>-0.01</v>
      </c>
    </row>
    <row r="125" spans="2:11" x14ac:dyDescent="0.15">
      <c r="B125" s="11" t="s">
        <v>23</v>
      </c>
      <c r="C125" s="20"/>
      <c r="D125" s="20"/>
      <c r="E125" s="20"/>
      <c r="G125" s="50">
        <v>-1.4999999999999999E-2</v>
      </c>
      <c r="H125" s="50">
        <v>-1.4999999999999999E-2</v>
      </c>
      <c r="I125" s="50">
        <v>-1.4999999999999999E-2</v>
      </c>
      <c r="J125" s="50">
        <v>-1.4999999999999999E-2</v>
      </c>
      <c r="K125" s="50">
        <v>-1.4999999999999999E-2</v>
      </c>
    </row>
    <row r="126" spans="2:11" x14ac:dyDescent="0.15">
      <c r="B126" s="11" t="s">
        <v>24</v>
      </c>
      <c r="C126" s="20"/>
      <c r="D126" s="20"/>
      <c r="E126" s="20"/>
      <c r="G126" s="50">
        <v>-0.01</v>
      </c>
      <c r="H126" s="50">
        <v>-0.01</v>
      </c>
      <c r="I126" s="50">
        <v>-0.01</v>
      </c>
      <c r="J126" s="50">
        <v>-0.01</v>
      </c>
      <c r="K126" s="50">
        <v>-0.01</v>
      </c>
    </row>
    <row r="127" spans="2:11" x14ac:dyDescent="0.15">
      <c r="B127" s="11" t="s">
        <v>25</v>
      </c>
      <c r="C127" s="20"/>
      <c r="D127" s="20"/>
      <c r="E127" s="20"/>
      <c r="G127" s="50">
        <v>0</v>
      </c>
      <c r="H127" s="50">
        <v>0</v>
      </c>
      <c r="I127" s="50">
        <v>0</v>
      </c>
      <c r="J127" s="50">
        <v>0</v>
      </c>
      <c r="K127" s="50">
        <v>0</v>
      </c>
    </row>
    <row r="129" spans="2:11" x14ac:dyDescent="0.15">
      <c r="B129" s="75" t="s">
        <v>263</v>
      </c>
      <c r="C129" s="76">
        <f>'CF source'!D25</f>
        <v>-1618</v>
      </c>
      <c r="D129" s="76">
        <f>'CF source'!E25</f>
        <v>-1939</v>
      </c>
      <c r="E129" s="76">
        <f>'CF source'!F25</f>
        <v>-1931</v>
      </c>
      <c r="F129" s="75"/>
      <c r="G129" s="87">
        <f>-G130*SUM(G7,G13)</f>
        <v>-1715.2598249999996</v>
      </c>
      <c r="H129" s="87">
        <f t="shared" ref="H129:K129" si="92">-H130*SUM(H7,H13)</f>
        <v>-1801.7422931249998</v>
      </c>
      <c r="I129" s="87">
        <f t="shared" si="92"/>
        <v>-1892.6742188756248</v>
      </c>
      <c r="J129" s="87">
        <f t="shared" si="92"/>
        <v>-1988.289292638628</v>
      </c>
      <c r="K129" s="87">
        <f t="shared" si="92"/>
        <v>-2088.8337287557824</v>
      </c>
    </row>
    <row r="130" spans="2:11" x14ac:dyDescent="0.15">
      <c r="B130" s="22" t="s">
        <v>29</v>
      </c>
      <c r="C130" s="24">
        <f>ABS(C129/SUM(C7,C13))</f>
        <v>5.7598519098643691E-2</v>
      </c>
      <c r="D130" s="24">
        <f t="shared" ref="D130:E130" si="93">ABS(D129/SUM(D7,D13))</f>
        <v>5.851818318998038E-2</v>
      </c>
      <c r="E130" s="24">
        <f t="shared" si="93"/>
        <v>5.3211717049243573E-2</v>
      </c>
      <c r="G130" s="111">
        <f>CHOOSE($C$5,G131,G132,G133)</f>
        <v>4.4999999999999998E-2</v>
      </c>
      <c r="H130" s="111">
        <f t="shared" ref="H130" si="94">CHOOSE($C$5,H131,H132,H133)</f>
        <v>4.4999999999999998E-2</v>
      </c>
      <c r="I130" s="111">
        <f t="shared" ref="I130" si="95">CHOOSE($C$5,I131,I132,I133)</f>
        <v>4.4999999999999998E-2</v>
      </c>
      <c r="J130" s="111">
        <f t="shared" ref="J130" si="96">CHOOSE($C$5,J131,J132,J133)</f>
        <v>4.4999999999999998E-2</v>
      </c>
      <c r="K130" s="111">
        <f t="shared" ref="K130" si="97">CHOOSE($C$5,K131,K132,K133)</f>
        <v>4.4999999999999998E-2</v>
      </c>
    </row>
    <row r="131" spans="2:11" x14ac:dyDescent="0.15">
      <c r="B131" s="11" t="s">
        <v>23</v>
      </c>
      <c r="C131" s="20"/>
      <c r="D131" s="20"/>
      <c r="E131" s="20"/>
      <c r="G131" s="50">
        <v>5.5E-2</v>
      </c>
      <c r="H131" s="50">
        <v>5.5E-2</v>
      </c>
      <c r="I131" s="50">
        <v>5.5E-2</v>
      </c>
      <c r="J131" s="50">
        <v>5.5E-2</v>
      </c>
      <c r="K131" s="50">
        <v>5.5E-2</v>
      </c>
    </row>
    <row r="132" spans="2:11" x14ac:dyDescent="0.15">
      <c r="B132" s="11" t="s">
        <v>24</v>
      </c>
      <c r="C132" s="20"/>
      <c r="D132" s="20"/>
      <c r="E132" s="20"/>
      <c r="G132" s="50">
        <v>4.4999999999999998E-2</v>
      </c>
      <c r="H132" s="50">
        <v>4.4999999999999998E-2</v>
      </c>
      <c r="I132" s="50">
        <v>4.4999999999999998E-2</v>
      </c>
      <c r="J132" s="50">
        <v>4.4999999999999998E-2</v>
      </c>
      <c r="K132" s="50">
        <v>4.4999999999999998E-2</v>
      </c>
    </row>
    <row r="133" spans="2:11" x14ac:dyDescent="0.15">
      <c r="B133" s="11" t="s">
        <v>25</v>
      </c>
      <c r="C133" s="20"/>
      <c r="D133" s="20"/>
      <c r="E133" s="20"/>
      <c r="G133" s="50">
        <v>3.5000000000000003E-2</v>
      </c>
      <c r="H133" s="50">
        <v>3.5000000000000003E-2</v>
      </c>
      <c r="I133" s="50">
        <v>3.5000000000000003E-2</v>
      </c>
      <c r="J133" s="50">
        <v>3.5000000000000003E-2</v>
      </c>
      <c r="K133" s="50">
        <v>3.5000000000000003E-2</v>
      </c>
    </row>
    <row r="135" spans="2:11" x14ac:dyDescent="0.15">
      <c r="B135" s="75" t="s">
        <v>273</v>
      </c>
      <c r="C135" s="76">
        <f>SUM('CF source'!D44,'CF source'!D45,'CF source'!D46)</f>
        <v>-1613</v>
      </c>
      <c r="D135" s="76">
        <f>SUM('CF source'!E44,'CF source'!E45,'CF source'!E46)</f>
        <v>-582</v>
      </c>
      <c r="E135" s="76">
        <f>SUM('CF source'!F44,'CF source'!F45,'CF source'!F46)</f>
        <v>405</v>
      </c>
      <c r="G135" s="87">
        <f>E135+G136</f>
        <v>405</v>
      </c>
      <c r="H135" s="87">
        <f>G135+H136</f>
        <v>405</v>
      </c>
      <c r="I135" s="87">
        <f>H135+I136</f>
        <v>405</v>
      </c>
      <c r="J135" s="87">
        <f>I135+J136</f>
        <v>405</v>
      </c>
      <c r="K135" s="87">
        <f>J135+K136</f>
        <v>405</v>
      </c>
    </row>
    <row r="136" spans="2:11" x14ac:dyDescent="0.15">
      <c r="B136" s="22" t="s">
        <v>255</v>
      </c>
      <c r="C136" s="22">
        <v>0</v>
      </c>
      <c r="D136" s="22">
        <f>D135-C135</f>
        <v>1031</v>
      </c>
      <c r="E136" s="22">
        <f>E135-D135</f>
        <v>987</v>
      </c>
      <c r="G136" s="112">
        <f>CHOOSE($C$5,G137,G138,G139)</f>
        <v>0</v>
      </c>
      <c r="H136" s="112">
        <f t="shared" ref="H136" si="98">CHOOSE($C$5,H137,H138,H139)</f>
        <v>0</v>
      </c>
      <c r="I136" s="112">
        <f t="shared" ref="I136" si="99">CHOOSE($C$5,I137,I138,I139)</f>
        <v>0</v>
      </c>
      <c r="J136" s="112">
        <f t="shared" ref="J136" si="100">CHOOSE($C$5,J137,J138,J139)</f>
        <v>0</v>
      </c>
      <c r="K136" s="112">
        <f t="shared" ref="K136" si="101">CHOOSE($C$5,K137,K138,K139)</f>
        <v>0</v>
      </c>
    </row>
    <row r="137" spans="2:11" x14ac:dyDescent="0.15">
      <c r="B137" s="11" t="s">
        <v>23</v>
      </c>
      <c r="C137" s="20"/>
      <c r="D137" s="20"/>
      <c r="E137" s="20"/>
      <c r="G137" s="114">
        <v>-250</v>
      </c>
      <c r="H137" s="114">
        <v>-250</v>
      </c>
      <c r="I137" s="114">
        <v>-250</v>
      </c>
      <c r="J137" s="114">
        <v>-250</v>
      </c>
      <c r="K137" s="114">
        <v>-250</v>
      </c>
    </row>
    <row r="138" spans="2:11" x14ac:dyDescent="0.15">
      <c r="B138" s="11" t="s">
        <v>24</v>
      </c>
      <c r="C138" s="20"/>
      <c r="D138" s="20"/>
      <c r="E138" s="20"/>
      <c r="G138" s="114">
        <v>0</v>
      </c>
      <c r="H138" s="114">
        <v>0</v>
      </c>
      <c r="I138" s="114">
        <v>0</v>
      </c>
      <c r="J138" s="114">
        <v>0</v>
      </c>
      <c r="K138" s="114">
        <v>0</v>
      </c>
    </row>
    <row r="139" spans="2:11" x14ac:dyDescent="0.15">
      <c r="B139" s="11" t="s">
        <v>25</v>
      </c>
      <c r="C139" s="20"/>
      <c r="D139" s="20"/>
      <c r="E139" s="20"/>
      <c r="G139" s="114">
        <v>500</v>
      </c>
      <c r="H139" s="114">
        <v>500</v>
      </c>
      <c r="I139" s="114">
        <v>500</v>
      </c>
      <c r="J139" s="114">
        <v>500</v>
      </c>
      <c r="K139" s="114">
        <v>500</v>
      </c>
    </row>
    <row r="141" spans="2:11" x14ac:dyDescent="0.15">
      <c r="B141" s="75" t="s">
        <v>154</v>
      </c>
      <c r="C141" s="76">
        <f>'CF source'!D39</f>
        <v>-848</v>
      </c>
      <c r="D141" s="76">
        <f>'CF source'!E39</f>
        <v>-1317</v>
      </c>
      <c r="E141" s="76">
        <f>'CF source'!F39</f>
        <v>-1533</v>
      </c>
      <c r="F141" s="75"/>
      <c r="G141" s="87">
        <f>-G142*SUM(G58,G64)</f>
        <v>-1641.8371137499998</v>
      </c>
      <c r="H141" s="87">
        <f t="shared" ref="H141:K141" si="102">-H142*SUM(H58,H64)</f>
        <v>-1721.8114314687498</v>
      </c>
      <c r="I141" s="87">
        <f t="shared" si="102"/>
        <v>-1805.7502273408431</v>
      </c>
      <c r="J141" s="87">
        <f t="shared" si="102"/>
        <v>-1893.8538409145422</v>
      </c>
      <c r="K141" s="87">
        <f t="shared" si="102"/>
        <v>-1986.3329432996577</v>
      </c>
    </row>
    <row r="142" spans="2:11" x14ac:dyDescent="0.15">
      <c r="B142" s="22" t="s">
        <v>280</v>
      </c>
      <c r="C142" s="24">
        <f>ABS(C141/'P&amp;L source'!F25)</f>
        <v>0.24284077892325315</v>
      </c>
      <c r="D142" s="24">
        <f>ABS(D141/'P&amp;L source'!G25)</f>
        <v>0.30807017543859649</v>
      </c>
      <c r="E142" s="24">
        <f>ABS(E141/'P&amp;L source'!H25)</f>
        <v>0.33478925529591613</v>
      </c>
      <c r="G142" s="111">
        <f>CHOOSE($C$5,G143,G144,G145)</f>
        <v>0.25</v>
      </c>
      <c r="H142" s="111">
        <f t="shared" ref="H142" si="103">CHOOSE($C$5,H143,H144,H145)</f>
        <v>0.25</v>
      </c>
      <c r="I142" s="111">
        <f t="shared" ref="I142" si="104">CHOOSE($C$5,I143,I144,I145)</f>
        <v>0.25</v>
      </c>
      <c r="J142" s="111">
        <f t="shared" ref="J142" si="105">CHOOSE($C$5,J143,J144,J145)</f>
        <v>0.25</v>
      </c>
      <c r="K142" s="111">
        <f t="shared" ref="K142" si="106">CHOOSE($C$5,K143,K144,K145)</f>
        <v>0.25</v>
      </c>
    </row>
    <row r="143" spans="2:11" x14ac:dyDescent="0.15">
      <c r="B143" s="11" t="s">
        <v>23</v>
      </c>
      <c r="C143" s="20"/>
      <c r="D143" s="20"/>
      <c r="E143" s="20"/>
      <c r="G143" s="50">
        <v>0.22</v>
      </c>
      <c r="H143" s="50">
        <v>0.22</v>
      </c>
      <c r="I143" s="50">
        <v>0.22</v>
      </c>
      <c r="J143" s="50">
        <v>0.22</v>
      </c>
      <c r="K143" s="50">
        <v>0.22</v>
      </c>
    </row>
    <row r="144" spans="2:11" x14ac:dyDescent="0.15">
      <c r="B144" s="11" t="s">
        <v>24</v>
      </c>
      <c r="C144" s="20"/>
      <c r="D144" s="20"/>
      <c r="E144" s="20"/>
      <c r="G144" s="50">
        <v>0.25</v>
      </c>
      <c r="H144" s="50">
        <v>0.25</v>
      </c>
      <c r="I144" s="50">
        <v>0.25</v>
      </c>
      <c r="J144" s="50">
        <v>0.25</v>
      </c>
      <c r="K144" s="50">
        <v>0.25</v>
      </c>
    </row>
    <row r="145" spans="2:11" x14ac:dyDescent="0.15">
      <c r="B145" s="11" t="s">
        <v>25</v>
      </c>
      <c r="C145" s="20"/>
      <c r="D145" s="20"/>
      <c r="E145" s="20"/>
      <c r="G145" s="50">
        <v>0.3</v>
      </c>
      <c r="H145" s="50">
        <v>0.3</v>
      </c>
      <c r="I145" s="50">
        <v>0.3</v>
      </c>
      <c r="J145" s="50">
        <v>0.3</v>
      </c>
      <c r="K145" s="50">
        <v>0.3</v>
      </c>
    </row>
    <row r="147" spans="2:11" x14ac:dyDescent="0.15">
      <c r="B147" s="75" t="s">
        <v>274</v>
      </c>
      <c r="C147" s="76">
        <f>SUM('CF source'!D40:D43)</f>
        <v>130</v>
      </c>
      <c r="D147" s="76">
        <f>SUM('CF source'!E40:E43)</f>
        <v>-582</v>
      </c>
      <c r="E147" s="76">
        <f>SUM('CF source'!F40:F43)</f>
        <v>-1579</v>
      </c>
      <c r="G147" s="87">
        <f>E147+G148</f>
        <v>-1679</v>
      </c>
      <c r="H147" s="87">
        <f>G147+H148</f>
        <v>-1779</v>
      </c>
      <c r="I147" s="87">
        <f>H147+I148</f>
        <v>-1879</v>
      </c>
      <c r="J147" s="87">
        <f>I147+J148</f>
        <v>-1979</v>
      </c>
      <c r="K147" s="87">
        <f>J147+K148</f>
        <v>-2079</v>
      </c>
    </row>
    <row r="148" spans="2:11" x14ac:dyDescent="0.15">
      <c r="B148" s="22" t="s">
        <v>255</v>
      </c>
      <c r="C148" s="22">
        <v>0</v>
      </c>
      <c r="D148" s="22">
        <f>D147-C147</f>
        <v>-712</v>
      </c>
      <c r="E148" s="22">
        <f>E147-D147</f>
        <v>-997</v>
      </c>
      <c r="G148" s="112">
        <f>CHOOSE($C$5,G149,G150,G151)</f>
        <v>-100</v>
      </c>
      <c r="H148" s="112">
        <f t="shared" ref="H148" si="107">CHOOSE($C$5,H149,H150,H151)</f>
        <v>-100</v>
      </c>
      <c r="I148" s="112">
        <f t="shared" ref="I148" si="108">CHOOSE($C$5,I149,I150,I151)</f>
        <v>-100</v>
      </c>
      <c r="J148" s="112">
        <f t="shared" ref="J148" si="109">CHOOSE($C$5,J149,J150,J151)</f>
        <v>-100</v>
      </c>
      <c r="K148" s="112">
        <f t="shared" ref="K148" si="110">CHOOSE($C$5,K149,K150,K151)</f>
        <v>-100</v>
      </c>
    </row>
    <row r="149" spans="2:11" x14ac:dyDescent="0.15">
      <c r="B149" s="11" t="s">
        <v>23</v>
      </c>
      <c r="C149" s="20"/>
      <c r="D149" s="20"/>
      <c r="E149" s="20"/>
      <c r="G149" s="114">
        <v>-200</v>
      </c>
      <c r="H149" s="114">
        <v>-200</v>
      </c>
      <c r="I149" s="114">
        <v>-200</v>
      </c>
      <c r="J149" s="114">
        <v>-200</v>
      </c>
      <c r="K149" s="114">
        <v>-200</v>
      </c>
    </row>
    <row r="150" spans="2:11" x14ac:dyDescent="0.15">
      <c r="B150" s="11" t="s">
        <v>24</v>
      </c>
      <c r="C150" s="20"/>
      <c r="D150" s="20"/>
      <c r="E150" s="20"/>
      <c r="G150" s="114">
        <v>-100</v>
      </c>
      <c r="H150" s="114">
        <v>-100</v>
      </c>
      <c r="I150" s="114">
        <v>-100</v>
      </c>
      <c r="J150" s="114">
        <v>-100</v>
      </c>
      <c r="K150" s="114">
        <v>-100</v>
      </c>
    </row>
    <row r="151" spans="2:11" x14ac:dyDescent="0.15">
      <c r="B151" s="11" t="s">
        <v>25</v>
      </c>
      <c r="C151" s="20"/>
      <c r="D151" s="20"/>
      <c r="E151" s="20"/>
      <c r="G151" s="114">
        <v>0</v>
      </c>
      <c r="H151" s="114">
        <v>0</v>
      </c>
      <c r="I151" s="114">
        <v>0</v>
      </c>
      <c r="J151" s="114">
        <v>0</v>
      </c>
      <c r="K151" s="114">
        <v>0</v>
      </c>
    </row>
    <row r="153" spans="2:11" ht="16" x14ac:dyDescent="0.2">
      <c r="B153" s="102" t="s">
        <v>458</v>
      </c>
      <c r="C153" s="73"/>
      <c r="D153" s="73"/>
      <c r="E153" s="73"/>
      <c r="F153" s="73"/>
      <c r="G153" s="73"/>
      <c r="H153" s="73"/>
      <c r="I153" s="73"/>
      <c r="J153" s="73"/>
      <c r="K153" s="73"/>
    </row>
    <row r="154" spans="2:11" x14ac:dyDescent="0.15">
      <c r="B154" s="75" t="s">
        <v>457</v>
      </c>
      <c r="C154" s="88">
        <f>CHOOSE($C$5,C155,C156,C157)</f>
        <v>1.4999999999999999E-2</v>
      </c>
    </row>
    <row r="155" spans="2:11" x14ac:dyDescent="0.15">
      <c r="B155" s="11" t="s">
        <v>16</v>
      </c>
      <c r="C155" s="209">
        <v>0.02</v>
      </c>
    </row>
    <row r="156" spans="2:11" x14ac:dyDescent="0.15">
      <c r="B156" s="11" t="s">
        <v>17</v>
      </c>
      <c r="C156" s="209">
        <v>1.4999999999999999E-2</v>
      </c>
    </row>
    <row r="157" spans="2:11" x14ac:dyDescent="0.15">
      <c r="B157" s="11" t="s">
        <v>19</v>
      </c>
      <c r="C157" s="209">
        <v>0.01</v>
      </c>
    </row>
  </sheetData>
  <mergeCells count="30">
    <mergeCell ref="N46:W46"/>
    <mergeCell ref="N41:W41"/>
    <mergeCell ref="N42:W42"/>
    <mergeCell ref="M20:P20"/>
    <mergeCell ref="M10:P10"/>
    <mergeCell ref="N38:W38"/>
    <mergeCell ref="M39:W39"/>
    <mergeCell ref="N40:W40"/>
    <mergeCell ref="M35:P35"/>
    <mergeCell ref="N57:W57"/>
    <mergeCell ref="M29:P29"/>
    <mergeCell ref="M58:W58"/>
    <mergeCell ref="N50:W50"/>
    <mergeCell ref="N51:W51"/>
    <mergeCell ref="N52:W52"/>
    <mergeCell ref="N53:W53"/>
    <mergeCell ref="N54:W54"/>
    <mergeCell ref="N55:W55"/>
    <mergeCell ref="N56:W56"/>
    <mergeCell ref="M49:W49"/>
    <mergeCell ref="N47:W47"/>
    <mergeCell ref="N48:W48"/>
    <mergeCell ref="N43:W43"/>
    <mergeCell ref="N44:W44"/>
    <mergeCell ref="N45:W45"/>
    <mergeCell ref="N63:W63"/>
    <mergeCell ref="N59:W59"/>
    <mergeCell ref="N60:W60"/>
    <mergeCell ref="N61:W61"/>
    <mergeCell ref="N62:W62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5ABD-C223-1A45-8F7E-7F2FF50FBA94}">
  <dimension ref="B1:M57"/>
  <sheetViews>
    <sheetView zoomScale="130" zoomScaleNormal="130" workbookViewId="0">
      <selection activeCell="E19" sqref="E19:K19"/>
    </sheetView>
  </sheetViews>
  <sheetFormatPr baseColWidth="10" defaultColWidth="9.1640625" defaultRowHeight="12" x14ac:dyDescent="0.15"/>
  <cols>
    <col min="1" max="1" width="2" style="11" customWidth="1"/>
    <col min="2" max="2" width="44.33203125" style="11" bestFit="1" customWidth="1"/>
    <col min="3" max="3" width="10.5" style="11" bestFit="1" customWidth="1"/>
    <col min="4" max="5" width="9.1640625" style="11"/>
    <col min="6" max="6" width="2" style="11" customWidth="1"/>
    <col min="7" max="7" width="10.5" style="11" bestFit="1" customWidth="1"/>
    <col min="8" max="11" width="9.1640625" style="11"/>
    <col min="12" max="12" width="2" style="11" customWidth="1"/>
    <col min="13" max="16384" width="9.1640625" style="11"/>
  </cols>
  <sheetData>
    <row r="1" spans="2:13" ht="16" x14ac:dyDescent="0.2">
      <c r="B1" s="10" t="s">
        <v>6</v>
      </c>
    </row>
    <row r="3" spans="2:13" ht="27" thickBot="1" x14ac:dyDescent="0.2">
      <c r="B3" s="12" t="s">
        <v>99</v>
      </c>
      <c r="C3" s="13" t="s">
        <v>181</v>
      </c>
      <c r="D3" s="13" t="s">
        <v>182</v>
      </c>
      <c r="E3" s="13" t="s">
        <v>183</v>
      </c>
      <c r="F3" s="14"/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  <c r="M3" s="25" t="s">
        <v>30</v>
      </c>
    </row>
    <row r="4" spans="2:13" x14ac:dyDescent="0.15">
      <c r="B4" s="11" t="s">
        <v>172</v>
      </c>
      <c r="C4" s="16">
        <f>SUMIF(Assumptions!$B:$B,'P&amp;L and BS'!$B4,Assumptions!C:C)</f>
        <v>19552</v>
      </c>
      <c r="D4" s="16">
        <f>SUMIF(Assumptions!$B:$B,'P&amp;L and BS'!$B4,Assumptions!D:D)</f>
        <v>22439</v>
      </c>
      <c r="E4" s="16">
        <f>SUMIF(Assumptions!$B:$B,'P&amp;L and BS'!$B4,Assumptions!E:E)</f>
        <v>23297</v>
      </c>
      <c r="F4" s="16">
        <f>SUMIF(Assumptions!$B:$B,'P&amp;L and BS'!$B4,Assumptions!F:F)</f>
        <v>0</v>
      </c>
      <c r="G4" s="17">
        <f>SUMIF(Assumptions!$B:$B,'P&amp;L and BS'!$B4,Assumptions!G:G)</f>
        <v>24345.364999999998</v>
      </c>
      <c r="H4" s="17">
        <f>SUMIF(Assumptions!$B:$B,'P&amp;L and BS'!$B4,Assumptions!H:H)</f>
        <v>25440.906424999997</v>
      </c>
      <c r="I4" s="17">
        <f>SUMIF(Assumptions!$B:$B,'P&amp;L and BS'!$B4,Assumptions!I:I)</f>
        <v>26585.747214124996</v>
      </c>
      <c r="J4" s="17">
        <f>SUMIF(Assumptions!$B:$B,'P&amp;L and BS'!$B4,Assumptions!J:J)</f>
        <v>27782.105838760621</v>
      </c>
      <c r="K4" s="17">
        <f>SUMIF(Assumptions!$B:$B,'P&amp;L and BS'!$B4,Assumptions!K:K)</f>
        <v>29032.300601504849</v>
      </c>
    </row>
    <row r="5" spans="2:13" x14ac:dyDescent="0.15">
      <c r="B5" s="11" t="s">
        <v>173</v>
      </c>
      <c r="C5" s="16">
        <f>SUMIF(Assumptions!$B:$B,'P&amp;L and BS'!$B5,Assumptions!C:C)</f>
        <v>8539</v>
      </c>
      <c r="D5" s="16">
        <f>SUMIF(Assumptions!$B:$B,'P&amp;L and BS'!$B5,Assumptions!D:D)</f>
        <v>10696</v>
      </c>
      <c r="E5" s="16">
        <f>SUMIF(Assumptions!$B:$B,'P&amp;L and BS'!$B5,Assumptions!E:E)</f>
        <v>12992</v>
      </c>
      <c r="F5" s="16">
        <f>SUMIF(Assumptions!$B:$B,'P&amp;L and BS'!$B5,Assumptions!F:F)</f>
        <v>0</v>
      </c>
      <c r="G5" s="17">
        <f>SUMIF(Assumptions!$B:$B,'P&amp;L and BS'!$B5,Assumptions!G:G)</f>
        <v>13771.52</v>
      </c>
      <c r="H5" s="17">
        <f>SUMIF(Assumptions!$B:$B,'P&amp;L and BS'!$B5,Assumptions!H:H)</f>
        <v>14597.811200000002</v>
      </c>
      <c r="I5" s="17">
        <f>SUMIF(Assumptions!$B:$B,'P&amp;L and BS'!$B5,Assumptions!I:I)</f>
        <v>15473.679872000002</v>
      </c>
      <c r="J5" s="17">
        <f>SUMIF(Assumptions!$B:$B,'P&amp;L and BS'!$B5,Assumptions!J:J)</f>
        <v>16402.100664320002</v>
      </c>
      <c r="K5" s="17">
        <f>SUMIF(Assumptions!$B:$B,'P&amp;L and BS'!$B5,Assumptions!K:K)</f>
        <v>17386.226704179204</v>
      </c>
    </row>
    <row r="6" spans="2:13" x14ac:dyDescent="0.15">
      <c r="B6" s="26" t="s">
        <v>31</v>
      </c>
      <c r="C6" s="27">
        <f>SUM(C4:C5)</f>
        <v>28091</v>
      </c>
      <c r="D6" s="27">
        <f t="shared" ref="D6:L6" si="0">SUM(D4:D5)</f>
        <v>33135</v>
      </c>
      <c r="E6" s="27">
        <f t="shared" si="0"/>
        <v>36289</v>
      </c>
      <c r="F6" s="27">
        <f t="shared" si="0"/>
        <v>0</v>
      </c>
      <c r="G6" s="44">
        <f t="shared" si="0"/>
        <v>38116.884999999995</v>
      </c>
      <c r="H6" s="44">
        <f t="shared" si="0"/>
        <v>40038.717624999997</v>
      </c>
      <c r="I6" s="44">
        <f t="shared" si="0"/>
        <v>42059.427086124997</v>
      </c>
      <c r="J6" s="44">
        <f t="shared" si="0"/>
        <v>44184.206503080626</v>
      </c>
      <c r="K6" s="44">
        <f t="shared" si="0"/>
        <v>46418.527305684052</v>
      </c>
      <c r="L6" s="27">
        <f t="shared" si="0"/>
        <v>0</v>
      </c>
    </row>
    <row r="7" spans="2:13" x14ac:dyDescent="0.15">
      <c r="B7" s="28"/>
      <c r="C7" s="103"/>
      <c r="D7" s="103"/>
      <c r="E7" s="103"/>
      <c r="F7" s="104"/>
      <c r="G7" s="17"/>
      <c r="H7" s="17"/>
      <c r="I7" s="17"/>
      <c r="J7" s="17"/>
      <c r="K7" s="17"/>
    </row>
    <row r="8" spans="2:13" ht="13" customHeight="1" x14ac:dyDescent="0.15">
      <c r="B8" s="11" t="s">
        <v>82</v>
      </c>
      <c r="C8" s="16">
        <f>SUMIF(Assumptions!$B:$B,'P&amp;L and BS'!$B8,Assumptions!C:C)</f>
        <v>-15233</v>
      </c>
      <c r="D8" s="16">
        <f>SUMIF(Assumptions!$B:$B,'P&amp;L and BS'!$B8,Assumptions!D:D)</f>
        <v>-17231</v>
      </c>
      <c r="E8" s="16">
        <f>SUMIF(Assumptions!$B:$B,'P&amp;L and BS'!$B8,Assumptions!E:E)</f>
        <v>-17847</v>
      </c>
      <c r="F8" s="16">
        <f>SUMIF(Assumptions!$B:$B,'P&amp;L and BS'!$B8,Assumptions!F:F)</f>
        <v>0</v>
      </c>
      <c r="G8" s="17">
        <f>SUMIF(Assumptions!$B:$B,'P&amp;L and BS'!$B8,Assumptions!G:G)</f>
        <v>-18624.204224999998</v>
      </c>
      <c r="H8" s="17">
        <f>SUMIF(Assumptions!$B:$B,'P&amp;L and BS'!$B8,Assumptions!H:H)</f>
        <v>-19462.293415124997</v>
      </c>
      <c r="I8" s="17">
        <f>SUMIF(Assumptions!$B:$B,'P&amp;L and BS'!$B8,Assumptions!I:I)</f>
        <v>-20338.096618805623</v>
      </c>
      <c r="J8" s="17">
        <f>SUMIF(Assumptions!$B:$B,'P&amp;L and BS'!$B8,Assumptions!J:J)</f>
        <v>-21253.310966651876</v>
      </c>
      <c r="K8" s="17">
        <f>SUMIF(Assumptions!$B:$B,'P&amp;L and BS'!$B8,Assumptions!K:K)</f>
        <v>-22209.709960151209</v>
      </c>
    </row>
    <row r="9" spans="2:13" x14ac:dyDescent="0.15">
      <c r="B9" s="11" t="s">
        <v>83</v>
      </c>
      <c r="C9" s="16">
        <f>SUMIF(Assumptions!$B:$B,'P&amp;L and BS'!$B9,Assumptions!C:C)</f>
        <v>-7697</v>
      </c>
      <c r="D9" s="16">
        <f>SUMIF(Assumptions!$B:$B,'P&amp;L and BS'!$B9,Assumptions!D:D)</f>
        <v>-9341</v>
      </c>
      <c r="E9" s="16">
        <f>SUMIF(Assumptions!$B:$B,'P&amp;L and BS'!$B9,Assumptions!E:E)</f>
        <v>-10982</v>
      </c>
      <c r="F9" s="16">
        <f>SUMIF(Assumptions!$B:$B,'P&amp;L and BS'!$B9,Assumptions!F:F)</f>
        <v>0</v>
      </c>
      <c r="G9" s="17">
        <f>SUMIF(Assumptions!$B:$B,'P&amp;L and BS'!$B9,Assumptions!G:G)</f>
        <v>-11705.791999999999</v>
      </c>
      <c r="H9" s="17">
        <f>SUMIF(Assumptions!$B:$B,'P&amp;L and BS'!$B9,Assumptions!H:H)</f>
        <v>-12408.139520000001</v>
      </c>
      <c r="I9" s="17">
        <f>SUMIF(Assumptions!$B:$B,'P&amp;L and BS'!$B9,Assumptions!I:I)</f>
        <v>-13152.627891200002</v>
      </c>
      <c r="J9" s="17">
        <f>SUMIF(Assumptions!$B:$B,'P&amp;L and BS'!$B9,Assumptions!J:J)</f>
        <v>-13941.785564672002</v>
      </c>
      <c r="K9" s="17">
        <f>SUMIF(Assumptions!$B:$B,'P&amp;L and BS'!$B9,Assumptions!K:K)</f>
        <v>-14778.292698552323</v>
      </c>
    </row>
    <row r="10" spans="2:13" x14ac:dyDescent="0.15">
      <c r="B10" s="26" t="s">
        <v>32</v>
      </c>
      <c r="C10" s="27">
        <f>C6+SUM(C8:C9)</f>
        <v>5161</v>
      </c>
      <c r="D10" s="27">
        <f t="shared" ref="D10:K10" si="1">D6+SUM(D8:D9)</f>
        <v>6563</v>
      </c>
      <c r="E10" s="27">
        <f t="shared" si="1"/>
        <v>7460</v>
      </c>
      <c r="F10" s="27">
        <f t="shared" si="1"/>
        <v>0</v>
      </c>
      <c r="G10" s="44">
        <f t="shared" si="1"/>
        <v>7786.8887749999994</v>
      </c>
      <c r="H10" s="44">
        <f t="shared" si="1"/>
        <v>8168.2846898749995</v>
      </c>
      <c r="I10" s="44">
        <f t="shared" si="1"/>
        <v>8568.7025761193727</v>
      </c>
      <c r="J10" s="44">
        <f t="shared" si="1"/>
        <v>8989.1099717567486</v>
      </c>
      <c r="K10" s="44">
        <f t="shared" si="1"/>
        <v>9430.5246469805206</v>
      </c>
    </row>
    <row r="11" spans="2:13" ht="13" customHeight="1" x14ac:dyDescent="0.15">
      <c r="G11" s="17"/>
      <c r="H11" s="17"/>
      <c r="I11" s="17"/>
      <c r="J11" s="17"/>
      <c r="K11" s="17"/>
    </row>
    <row r="12" spans="2:13" x14ac:dyDescent="0.15">
      <c r="B12" s="11" t="s">
        <v>26</v>
      </c>
      <c r="C12" s="16">
        <f>SUMIF(Assumptions!$B:$B,'P&amp;L and BS'!$B12,Assumptions!C:C)</f>
        <v>-1010</v>
      </c>
      <c r="D12" s="16">
        <f>SUMIF(Assumptions!$B:$B,'P&amp;L and BS'!$B12,Assumptions!D:D)</f>
        <v>-1075</v>
      </c>
      <c r="E12" s="16">
        <f>SUMIF(Assumptions!$B:$B,'P&amp;L and BS'!$B12,Assumptions!E:E)</f>
        <v>-1134</v>
      </c>
      <c r="F12" s="16">
        <f>SUMIF(Assumptions!$B:$B,'P&amp;L and BS'!$B12,Assumptions!F:F)</f>
        <v>0</v>
      </c>
      <c r="G12" s="17">
        <f>SUMIF(Assumptions!$B:$B,'P&amp;L and BS'!$B12,Assumptions!G:G)</f>
        <v>-1219.7403199999999</v>
      </c>
      <c r="H12" s="17">
        <f>SUMIF(Assumptions!$B:$B,'P&amp;L and BS'!$B12,Assumptions!H:H)</f>
        <v>-1281.2389639999999</v>
      </c>
      <c r="I12" s="17">
        <f>SUMIF(Assumptions!$B:$B,'P&amp;L and BS'!$B12,Assumptions!I:I)</f>
        <v>-1345.9016667559999</v>
      </c>
      <c r="J12" s="17">
        <f>SUMIF(Assumptions!$B:$B,'P&amp;L and BS'!$B12,Assumptions!J:J)</f>
        <v>-1413.89460809858</v>
      </c>
      <c r="K12" s="17">
        <f>SUMIF(Assumptions!$B:$B,'P&amp;L and BS'!$B12,Assumptions!K:K)</f>
        <v>-1485.3928737818896</v>
      </c>
    </row>
    <row r="13" spans="2:13" x14ac:dyDescent="0.15">
      <c r="B13" s="11" t="s">
        <v>269</v>
      </c>
      <c r="C13" s="11">
        <f>-SUM('P&amp;L source'!F15:F17)</f>
        <v>0</v>
      </c>
      <c r="D13" s="11">
        <f>-SUM('P&amp;L source'!G15:G17)</f>
        <v>-45</v>
      </c>
      <c r="E13" s="11">
        <f>-SUM('P&amp;L source'!H15:H17)</f>
        <v>-522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M13" s="11" t="s">
        <v>214</v>
      </c>
    </row>
    <row r="14" spans="2:13" ht="13" customHeight="1" x14ac:dyDescent="0.15">
      <c r="B14" s="11" t="s">
        <v>27</v>
      </c>
      <c r="C14" s="16">
        <f>SUMIF(Assumptions!$B:$B,'P&amp;L and BS'!$B14,Assumptions!C:C)</f>
        <v>-2147</v>
      </c>
      <c r="D14" s="16">
        <f>SUMIF(Assumptions!$B:$B,'P&amp;L and BS'!$B14,Assumptions!D:D)</f>
        <v>-2312</v>
      </c>
      <c r="E14" s="16">
        <f>SUMIF(Assumptions!$B:$B,'P&amp;L and BS'!$B14,Assumptions!E:E)</f>
        <v>-2519</v>
      </c>
      <c r="F14" s="16">
        <f>SUMIF(Assumptions!$B:$B,'P&amp;L and BS'!$B14,Assumptions!F:F)</f>
        <v>0</v>
      </c>
      <c r="G14" s="17">
        <f>SUMIF(Assumptions!$B:$B,'P&amp;L and BS'!$B14,Assumptions!G:G)</f>
        <v>-2668.1819499999997</v>
      </c>
      <c r="H14" s="17">
        <f>SUMIF(Assumptions!$B:$B,'P&amp;L and BS'!$B14,Assumptions!H:H)</f>
        <v>-2802.71023375</v>
      </c>
      <c r="I14" s="17">
        <f>SUMIF(Assumptions!$B:$B,'P&amp;L and BS'!$B14,Assumptions!I:I)</f>
        <v>-2944.1598960287502</v>
      </c>
      <c r="J14" s="17">
        <f>SUMIF(Assumptions!$B:$B,'P&amp;L and BS'!$B14,Assumptions!J:J)</f>
        <v>-3092.894455215644</v>
      </c>
      <c r="K14" s="17">
        <f>SUMIF(Assumptions!$B:$B,'P&amp;L and BS'!$B14,Assumptions!K:K)</f>
        <v>-3249.2969113978838</v>
      </c>
      <c r="M14" s="11" t="s">
        <v>215</v>
      </c>
    </row>
    <row r="15" spans="2:13" x14ac:dyDescent="0.15">
      <c r="B15" s="26" t="s">
        <v>33</v>
      </c>
      <c r="C15" s="27">
        <f>C10+SUM(C12:C13)-C14</f>
        <v>6298</v>
      </c>
      <c r="D15" s="27">
        <f t="shared" ref="D15:K15" si="2">D10+SUM(D12:D13)-D14</f>
        <v>7755</v>
      </c>
      <c r="E15" s="27">
        <f t="shared" si="2"/>
        <v>8323</v>
      </c>
      <c r="F15" s="27">
        <f t="shared" si="2"/>
        <v>0</v>
      </c>
      <c r="G15" s="44">
        <f t="shared" si="2"/>
        <v>9235.3304049999988</v>
      </c>
      <c r="H15" s="44">
        <f t="shared" si="2"/>
        <v>9689.7559596249994</v>
      </c>
      <c r="I15" s="44">
        <f t="shared" si="2"/>
        <v>10166.960805392122</v>
      </c>
      <c r="J15" s="44">
        <f t="shared" si="2"/>
        <v>10668.109818873812</v>
      </c>
      <c r="K15" s="44">
        <f t="shared" si="2"/>
        <v>11194.428684596514</v>
      </c>
    </row>
    <row r="16" spans="2:13" x14ac:dyDescent="0.15">
      <c r="C16" s="16"/>
      <c r="D16" s="16"/>
      <c r="E16" s="16"/>
      <c r="F16" s="16"/>
      <c r="G16" s="17"/>
      <c r="H16" s="17"/>
      <c r="I16" s="17"/>
      <c r="J16" s="17"/>
      <c r="K16" s="17"/>
    </row>
    <row r="17" spans="2:13" ht="14" customHeight="1" x14ac:dyDescent="0.15">
      <c r="B17" s="11" t="s">
        <v>27</v>
      </c>
      <c r="C17" s="16">
        <f>SUMIF(Assumptions!$B:$B,'P&amp;L and BS'!$B17,Assumptions!C:C)</f>
        <v>-2147</v>
      </c>
      <c r="D17" s="16">
        <f>SUMIF(Assumptions!$B:$B,'P&amp;L and BS'!$B17,Assumptions!D:D)</f>
        <v>-2312</v>
      </c>
      <c r="E17" s="16">
        <f>SUMIF(Assumptions!$B:$B,'P&amp;L and BS'!$B17,Assumptions!E:E)</f>
        <v>-2519</v>
      </c>
      <c r="F17" s="16">
        <f>SUMIF(Assumptions!$B:$B,'P&amp;L and BS'!$B17,Assumptions!F:F)</f>
        <v>0</v>
      </c>
      <c r="G17" s="17">
        <f>SUMIF(Assumptions!$B:$B,'P&amp;L and BS'!$B17,Assumptions!G:G)</f>
        <v>-2668.1819499999997</v>
      </c>
      <c r="H17" s="17">
        <f>SUMIF(Assumptions!$B:$B,'P&amp;L and BS'!$B17,Assumptions!H:H)</f>
        <v>-2802.71023375</v>
      </c>
      <c r="I17" s="17">
        <f>SUMIF(Assumptions!$B:$B,'P&amp;L and BS'!$B17,Assumptions!I:I)</f>
        <v>-2944.1598960287502</v>
      </c>
      <c r="J17" s="17">
        <f>SUMIF(Assumptions!$B:$B,'P&amp;L and BS'!$B17,Assumptions!J:J)</f>
        <v>-3092.894455215644</v>
      </c>
      <c r="K17" s="17">
        <f>SUMIF(Assumptions!$B:$B,'P&amp;L and BS'!$B17,Assumptions!K:K)</f>
        <v>-3249.2969113978838</v>
      </c>
      <c r="M17" s="11" t="s">
        <v>216</v>
      </c>
    </row>
    <row r="18" spans="2:13" ht="12" customHeight="1" x14ac:dyDescent="0.15">
      <c r="B18" s="26" t="s">
        <v>34</v>
      </c>
      <c r="C18" s="27">
        <f>C15+C17</f>
        <v>4151</v>
      </c>
      <c r="D18" s="27">
        <f t="shared" ref="D18:K18" si="3">D15+D17</f>
        <v>5443</v>
      </c>
      <c r="E18" s="27">
        <f t="shared" si="3"/>
        <v>5804</v>
      </c>
      <c r="F18" s="27">
        <f t="shared" si="3"/>
        <v>0</v>
      </c>
      <c r="G18" s="44">
        <f t="shared" si="3"/>
        <v>6567.1484549999986</v>
      </c>
      <c r="H18" s="44">
        <f t="shared" si="3"/>
        <v>6887.0457258749993</v>
      </c>
      <c r="I18" s="44">
        <f t="shared" si="3"/>
        <v>7222.8009093633718</v>
      </c>
      <c r="J18" s="44">
        <f t="shared" si="3"/>
        <v>7575.2153636581679</v>
      </c>
      <c r="K18" s="44">
        <f t="shared" si="3"/>
        <v>7945.131773198631</v>
      </c>
    </row>
    <row r="19" spans="2:13" ht="12" customHeight="1" x14ac:dyDescent="0.15">
      <c r="B19" s="28"/>
      <c r="C19" s="29"/>
      <c r="D19" s="29"/>
      <c r="E19" s="151"/>
      <c r="F19" s="151"/>
      <c r="G19" s="151"/>
      <c r="H19" s="151"/>
      <c r="I19" s="151"/>
      <c r="J19" s="151"/>
      <c r="K19" s="151"/>
    </row>
    <row r="20" spans="2:13" x14ac:dyDescent="0.15">
      <c r="B20" s="11" t="s">
        <v>176</v>
      </c>
      <c r="C20" s="16">
        <f>SUMIF(Assumptions!$B:$B,'P&amp;L and BS'!$B20,Assumptions!C:C)</f>
        <v>610</v>
      </c>
      <c r="D20" s="16">
        <f>SUMIF(Assumptions!$B:$B,'P&amp;L and BS'!$B20,Assumptions!D:D)</f>
        <v>342</v>
      </c>
      <c r="E20" s="16">
        <f>SUMIF(Assumptions!$B:$B,'P&amp;L and BS'!$B20,Assumptions!E:E)</f>
        <v>380</v>
      </c>
      <c r="F20" s="16">
        <f>SUMIF(Assumptions!$B:$B,'P&amp;L and BS'!$B20,Assumptions!F:F)</f>
        <v>0</v>
      </c>
      <c r="G20" s="17">
        <f>SUMIF(Assumptions!$B:$B,'P&amp;L and BS'!$B20,Assumptions!G:G)</f>
        <v>0</v>
      </c>
      <c r="H20" s="17">
        <f>SUMIF(Assumptions!$B:$B,'P&amp;L and BS'!$B20,Assumptions!H:H)</f>
        <v>0</v>
      </c>
      <c r="I20" s="17">
        <f>SUMIF(Assumptions!$B:$B,'P&amp;L and BS'!$B20,Assumptions!I:I)</f>
        <v>0</v>
      </c>
      <c r="J20" s="17">
        <f>SUMIF(Assumptions!$B:$B,'P&amp;L and BS'!$B20,Assumptions!J:J)</f>
        <v>0</v>
      </c>
      <c r="K20" s="17">
        <f>SUMIF(Assumptions!$B:$B,'P&amp;L and BS'!$B20,Assumptions!K:K)</f>
        <v>0</v>
      </c>
    </row>
    <row r="21" spans="2:13" ht="13" customHeight="1" x14ac:dyDescent="0.15">
      <c r="B21" s="11" t="s">
        <v>178</v>
      </c>
      <c r="C21" s="16">
        <f>SUMIF(Assumptions!$B:$B,'P&amp;L and BS'!$B21,Assumptions!C:C)</f>
        <v>-490</v>
      </c>
      <c r="D21" s="16">
        <f>SUMIF(Assumptions!$B:$B,'P&amp;L and BS'!$B21,Assumptions!D:D)</f>
        <v>-503</v>
      </c>
      <c r="E21" s="16">
        <f>SUMIF(Assumptions!$B:$B,'P&amp;L and BS'!$B21,Assumptions!E:E)</f>
        <v>-512</v>
      </c>
      <c r="F21" s="16">
        <f>SUMIF(Assumptions!$B:$B,'P&amp;L and BS'!$B21,Assumptions!F:F)</f>
        <v>0</v>
      </c>
      <c r="G21" s="17">
        <f>SUMIF(Assumptions!$B:$B,'P&amp;L and BS'!$B21,Assumptions!G:G)</f>
        <v>0</v>
      </c>
      <c r="H21" s="17">
        <f>SUMIF(Assumptions!$B:$B,'P&amp;L and BS'!$B21,Assumptions!H:H)</f>
        <v>0</v>
      </c>
      <c r="I21" s="17">
        <f>SUMIF(Assumptions!$B:$B,'P&amp;L and BS'!$B21,Assumptions!I:I)</f>
        <v>0</v>
      </c>
      <c r="J21" s="17">
        <f>SUMIF(Assumptions!$B:$B,'P&amp;L and BS'!$B21,Assumptions!J:J)</f>
        <v>0</v>
      </c>
      <c r="K21" s="17">
        <f>SUMIF(Assumptions!$B:$B,'P&amp;L and BS'!$B21,Assumptions!K:K)</f>
        <v>0</v>
      </c>
    </row>
    <row r="22" spans="2:13" x14ac:dyDescent="0.15">
      <c r="B22" s="26" t="s">
        <v>35</v>
      </c>
      <c r="C22" s="27">
        <f>C18+SUM(C20:C21)</f>
        <v>4271</v>
      </c>
      <c r="D22" s="27">
        <f t="shared" ref="D22:K22" si="4">D18+SUM(D20:D21)</f>
        <v>5282</v>
      </c>
      <c r="E22" s="27">
        <f t="shared" si="4"/>
        <v>5672</v>
      </c>
      <c r="F22" s="27">
        <f t="shared" si="4"/>
        <v>0</v>
      </c>
      <c r="G22" s="44">
        <f t="shared" si="4"/>
        <v>6567.1484549999986</v>
      </c>
      <c r="H22" s="44">
        <f t="shared" si="4"/>
        <v>6887.0457258749993</v>
      </c>
      <c r="I22" s="44">
        <f t="shared" si="4"/>
        <v>7222.8009093633718</v>
      </c>
      <c r="J22" s="44">
        <f t="shared" si="4"/>
        <v>7575.2153636581679</v>
      </c>
      <c r="K22" s="44">
        <f t="shared" si="4"/>
        <v>7945.131773198631</v>
      </c>
    </row>
    <row r="23" spans="2:13" x14ac:dyDescent="0.15">
      <c r="C23" s="16"/>
      <c r="D23" s="16"/>
      <c r="E23" s="16"/>
      <c r="F23" s="16"/>
      <c r="G23" s="17"/>
      <c r="H23" s="17"/>
      <c r="I23" s="17"/>
      <c r="J23" s="17"/>
      <c r="K23" s="17"/>
    </row>
    <row r="24" spans="2:13" ht="14" customHeight="1" x14ac:dyDescent="0.15">
      <c r="B24" s="11" t="s">
        <v>36</v>
      </c>
      <c r="C24" s="21">
        <f>ABS(C25/C22)</f>
        <v>0.1823928822289862</v>
      </c>
      <c r="D24" s="21">
        <f t="shared" ref="D24:K24" si="5">ABS(D25/D22)</f>
        <v>0.1906474820143885</v>
      </c>
      <c r="E24" s="21">
        <f t="shared" si="5"/>
        <v>0.19270098730606489</v>
      </c>
      <c r="F24" s="21"/>
      <c r="G24" s="19">
        <f t="shared" si="5"/>
        <v>0.20000000000000004</v>
      </c>
      <c r="H24" s="19">
        <f t="shared" si="5"/>
        <v>0.20000000000000004</v>
      </c>
      <c r="I24" s="19">
        <f t="shared" si="5"/>
        <v>0.20000000000000004</v>
      </c>
      <c r="J24" s="19">
        <f t="shared" si="5"/>
        <v>0.20000000000000004</v>
      </c>
      <c r="K24" s="19">
        <f t="shared" si="5"/>
        <v>0.2</v>
      </c>
    </row>
    <row r="25" spans="2:13" x14ac:dyDescent="0.15">
      <c r="B25" s="11" t="s">
        <v>91</v>
      </c>
      <c r="C25" s="16">
        <f>SUMIF(Assumptions!$B:$B,'P&amp;L and BS'!$B25,Assumptions!C:C)</f>
        <v>-779</v>
      </c>
      <c r="D25" s="16">
        <f>SUMIF(Assumptions!$B:$B,'P&amp;L and BS'!$B25,Assumptions!D:D)</f>
        <v>-1007</v>
      </c>
      <c r="E25" s="16">
        <f>SUMIF(Assumptions!$B:$B,'P&amp;L and BS'!$B25,Assumptions!E:E)</f>
        <v>-1093</v>
      </c>
      <c r="F25" s="16">
        <f>SUMIF(Assumptions!$B:$B,'P&amp;L and BS'!$B25,Assumptions!F:F)</f>
        <v>0</v>
      </c>
      <c r="G25" s="17">
        <f>SUMIF(Assumptions!$B:$B,'P&amp;L and BS'!$B25,Assumptions!G:G)</f>
        <v>-1313.429691</v>
      </c>
      <c r="H25" s="17">
        <f>SUMIF(Assumptions!$B:$B,'P&amp;L and BS'!$B25,Assumptions!H:H)</f>
        <v>-1377.409145175</v>
      </c>
      <c r="I25" s="17">
        <f>SUMIF(Assumptions!$B:$B,'P&amp;L and BS'!$B25,Assumptions!I:I)</f>
        <v>-1444.5601818726745</v>
      </c>
      <c r="J25" s="17">
        <f>SUMIF(Assumptions!$B:$B,'P&amp;L and BS'!$B25,Assumptions!J:J)</f>
        <v>-1515.0430727316339</v>
      </c>
      <c r="K25" s="17">
        <f>SUMIF(Assumptions!$B:$B,'P&amp;L and BS'!$B25,Assumptions!K:K)</f>
        <v>-1589.0263546397264</v>
      </c>
    </row>
    <row r="26" spans="2:13" x14ac:dyDescent="0.15">
      <c r="C26" s="16"/>
      <c r="D26" s="16"/>
      <c r="E26" s="16"/>
      <c r="F26" s="16"/>
      <c r="G26" s="23"/>
      <c r="H26" s="23"/>
      <c r="I26" s="23"/>
      <c r="J26" s="23"/>
      <c r="K26" s="23"/>
    </row>
    <row r="27" spans="2:13" x14ac:dyDescent="0.15">
      <c r="B27" s="30" t="s">
        <v>37</v>
      </c>
      <c r="C27" s="31">
        <f>C22+C25</f>
        <v>3492</v>
      </c>
      <c r="D27" s="31">
        <f t="shared" ref="D27:K27" si="6">D22+D25</f>
        <v>4275</v>
      </c>
      <c r="E27" s="31">
        <f t="shared" si="6"/>
        <v>4579</v>
      </c>
      <c r="F27" s="31">
        <f t="shared" si="6"/>
        <v>0</v>
      </c>
      <c r="G27" s="31">
        <f t="shared" si="6"/>
        <v>5253.7187639999984</v>
      </c>
      <c r="H27" s="31">
        <f t="shared" si="6"/>
        <v>5509.6365806999993</v>
      </c>
      <c r="I27" s="31">
        <f t="shared" si="6"/>
        <v>5778.2407274906973</v>
      </c>
      <c r="J27" s="31">
        <f t="shared" si="6"/>
        <v>6060.1722909265336</v>
      </c>
      <c r="K27" s="31">
        <f t="shared" si="6"/>
        <v>6356.1054185589046</v>
      </c>
      <c r="M27" s="80"/>
    </row>
    <row r="28" spans="2:13" x14ac:dyDescent="0.15">
      <c r="C28" s="16"/>
      <c r="D28" s="16"/>
      <c r="E28" s="16"/>
      <c r="F28" s="16"/>
    </row>
    <row r="29" spans="2:13" x14ac:dyDescent="0.15">
      <c r="C29" s="16"/>
      <c r="D29" s="16"/>
      <c r="E29" s="16"/>
      <c r="F29" s="16"/>
    </row>
    <row r="30" spans="2:13" ht="16" x14ac:dyDescent="0.2">
      <c r="B30" s="102" t="s">
        <v>38</v>
      </c>
      <c r="C30" s="73"/>
      <c r="D30" s="73"/>
      <c r="E30" s="73"/>
      <c r="F30" s="73"/>
      <c r="G30" s="73"/>
      <c r="H30" s="73"/>
      <c r="I30" s="73"/>
      <c r="J30" s="73"/>
      <c r="K30" s="73"/>
    </row>
    <row r="32" spans="2:13" ht="27" thickBot="1" x14ac:dyDescent="0.2">
      <c r="B32" s="12" t="s">
        <v>99</v>
      </c>
      <c r="C32" s="13" t="s">
        <v>181</v>
      </c>
      <c r="D32" s="13" t="s">
        <v>182</v>
      </c>
      <c r="E32" s="13" t="s">
        <v>183</v>
      </c>
      <c r="F32" s="14"/>
      <c r="G32" s="15" t="s">
        <v>184</v>
      </c>
      <c r="H32" s="15" t="s">
        <v>185</v>
      </c>
      <c r="I32" s="15" t="s">
        <v>186</v>
      </c>
      <c r="J32" s="15" t="s">
        <v>187</v>
      </c>
      <c r="K32" s="15" t="s">
        <v>188</v>
      </c>
      <c r="M32" s="25" t="s">
        <v>30</v>
      </c>
    </row>
    <row r="33" spans="2:13" x14ac:dyDescent="0.15">
      <c r="B33" s="11" t="s">
        <v>217</v>
      </c>
      <c r="C33" s="16">
        <f>SUMIF(Assumptions!$B:$B,'P&amp;L and BS'!$B33,Assumptions!C:C)</f>
        <v>6766</v>
      </c>
      <c r="D33" s="16">
        <f>SUMIF(Assumptions!$B:$B,'P&amp;L and BS'!$B33,Assumptions!D:D)</f>
        <v>7812</v>
      </c>
      <c r="E33" s="16">
        <f>SUMIF(Assumptions!$B:$B,'P&amp;L and BS'!$B33,Assumptions!E:E)</f>
        <v>8011</v>
      </c>
      <c r="F33" s="16">
        <f>SUMIF(Assumptions!$B:$B,'P&amp;L and BS'!$B33,Assumptions!F:F)</f>
        <v>0</v>
      </c>
      <c r="G33" s="17">
        <f>SUMIF(Assumptions!$B:$B,'P&amp;L and BS'!$B33,Assumptions!G:G)</f>
        <v>8337.4537671232883</v>
      </c>
      <c r="H33" s="17">
        <f>SUMIF(Assumptions!$B:$B,'P&amp;L and BS'!$B33,Assumptions!H:H)</f>
        <v>8712.6391866438335</v>
      </c>
      <c r="I33" s="17">
        <f>SUMIF(Assumptions!$B:$B,'P&amp;L and BS'!$B33,Assumptions!I:I)</f>
        <v>9104.7079500428063</v>
      </c>
      <c r="J33" s="17">
        <f>SUMIF(Assumptions!$B:$B,'P&amp;L and BS'!$B33,Assumptions!J:J)</f>
        <v>9514.4198077947331</v>
      </c>
      <c r="K33" s="17">
        <f>SUMIF(Assumptions!$B:$B,'P&amp;L and BS'!$B33,Assumptions!K:K)</f>
        <v>9942.5686991454968</v>
      </c>
    </row>
    <row r="34" spans="2:13" x14ac:dyDescent="0.15">
      <c r="B34" s="11" t="s">
        <v>234</v>
      </c>
      <c r="C34" s="16">
        <f>SUMIF(Assumptions!$B:$B,'P&amp;L and BS'!$B34,Assumptions!C:C)</f>
        <v>1239</v>
      </c>
      <c r="D34" s="16">
        <f>SUMIF(Assumptions!$B:$B,'P&amp;L and BS'!$B34,Assumptions!D:D)</f>
        <v>1089</v>
      </c>
      <c r="E34" s="16">
        <f>SUMIF(Assumptions!$B:$B,'P&amp;L and BS'!$B34,Assumptions!E:E)</f>
        <v>1125</v>
      </c>
      <c r="F34" s="16">
        <f>SUMIF(Assumptions!$B:$B,'P&amp;L and BS'!$B34,Assumptions!F:F)</f>
        <v>0</v>
      </c>
      <c r="G34" s="17">
        <f>SUMIF(Assumptions!$B:$B,'P&amp;L and BS'!$B34,Assumptions!G:G)</f>
        <v>1552.8904775749995</v>
      </c>
      <c r="H34" s="17">
        <f>SUMIF(Assumptions!$B:$B,'P&amp;L and BS'!$B34,Assumptions!H:H)</f>
        <v>2074.0122516568745</v>
      </c>
      <c r="I34" s="17">
        <f>SUMIF(Assumptions!$B:$B,'P&amp;L and BS'!$B34,Assumptions!I:I)</f>
        <v>2629.6268235893931</v>
      </c>
      <c r="J34" s="17">
        <f>SUMIF(Assumptions!$B:$B,'P&amp;L and BS'!$B34,Assumptions!J:J)</f>
        <v>3222.951287856853</v>
      </c>
      <c r="K34" s="17">
        <f>SUMIF(Assumptions!$B:$B,'P&amp;L and BS'!$B34,Assumptions!K:K)</f>
        <v>3857.366403310205</v>
      </c>
    </row>
    <row r="35" spans="2:13" x14ac:dyDescent="0.15">
      <c r="B35" s="11" t="s">
        <v>105</v>
      </c>
      <c r="C35" s="16">
        <f>SUMIF(Assumptions!$B:$B,'P&amp;L and BS'!$B35,Assumptions!C:C)</f>
        <v>3999</v>
      </c>
      <c r="D35" s="16">
        <f>SUMIF(Assumptions!$B:$B,'P&amp;L and BS'!$B35,Assumptions!D:D)</f>
        <v>4387</v>
      </c>
      <c r="E35" s="16">
        <f>SUMIF(Assumptions!$B:$B,'P&amp;L and BS'!$B35,Assumptions!E:E)</f>
        <v>4375</v>
      </c>
      <c r="F35" s="16">
        <f>SUMIF(Assumptions!$B:$B,'P&amp;L and BS'!$B35,Assumptions!F:F)</f>
        <v>0</v>
      </c>
      <c r="G35" s="17">
        <f>SUMIF(Assumptions!$B:$B,'P&amp;L and BS'!$B35,Assumptions!G:G)</f>
        <v>4810.5994520547938</v>
      </c>
      <c r="H35" s="17">
        <f>SUMIF(Assumptions!$B:$B,'P&amp;L and BS'!$B35,Assumptions!H:H)</f>
        <v>5099.2354191780823</v>
      </c>
      <c r="I35" s="17">
        <f>SUMIF(Assumptions!$B:$B,'P&amp;L and BS'!$B35,Assumptions!I:I)</f>
        <v>5405.1895443287676</v>
      </c>
      <c r="J35" s="17">
        <f>SUMIF(Assumptions!$B:$B,'P&amp;L and BS'!$B35,Assumptions!J:J)</f>
        <v>5729.5009169884934</v>
      </c>
      <c r="K35" s="17">
        <f>SUMIF(Assumptions!$B:$B,'P&amp;L and BS'!$B35,Assumptions!K:K)</f>
        <v>6073.2709720078037</v>
      </c>
    </row>
    <row r="36" spans="2:13" x14ac:dyDescent="0.15">
      <c r="B36" s="11" t="s">
        <v>218</v>
      </c>
      <c r="C36" s="16">
        <f>SUMIF(Assumptions!$B:$B,'P&amp;L and BS'!$B36,Assumptions!C:C)</f>
        <v>1344</v>
      </c>
      <c r="D36" s="16">
        <f>SUMIF(Assumptions!$B:$B,'P&amp;L and BS'!$B36,Assumptions!D:D)</f>
        <v>1530</v>
      </c>
      <c r="E36" s="16">
        <f>SUMIF(Assumptions!$B:$B,'P&amp;L and BS'!$B36,Assumptions!E:E)</f>
        <v>1515</v>
      </c>
      <c r="F36" s="16">
        <f>SUMIF(Assumptions!$B:$B,'P&amp;L and BS'!$B36,Assumptions!F:F)</f>
        <v>0</v>
      </c>
      <c r="G36" s="17">
        <f>SUMIF(Assumptions!$B:$B,'P&amp;L and BS'!$B36,Assumptions!G:G)</f>
        <v>1600.9091699999999</v>
      </c>
      <c r="H36" s="17">
        <f>SUMIF(Assumptions!$B:$B,'P&amp;L and BS'!$B36,Assumptions!H:H)</f>
        <v>1681.6261402499999</v>
      </c>
      <c r="I36" s="17">
        <f>SUMIF(Assumptions!$B:$B,'P&amp;L and BS'!$B36,Assumptions!I:I)</f>
        <v>1766.4959376172501</v>
      </c>
      <c r="J36" s="17">
        <f>SUMIF(Assumptions!$B:$B,'P&amp;L and BS'!$B36,Assumptions!J:J)</f>
        <v>1855.7366731293864</v>
      </c>
      <c r="K36" s="17">
        <f>SUMIF(Assumptions!$B:$B,'P&amp;L and BS'!$B36,Assumptions!K:K)</f>
        <v>1949.5781468387304</v>
      </c>
    </row>
    <row r="37" spans="2:13" x14ac:dyDescent="0.15">
      <c r="B37" s="11" t="s">
        <v>107</v>
      </c>
      <c r="C37" s="16">
        <f>'BS source'!F11</f>
        <v>1581</v>
      </c>
      <c r="D37" s="16">
        <f>'BS source'!G11</f>
        <v>1624</v>
      </c>
      <c r="E37" s="16">
        <f>'BS source'!H11</f>
        <v>1635</v>
      </c>
      <c r="G37" s="17">
        <f>$E$37</f>
        <v>1635</v>
      </c>
      <c r="H37" s="17">
        <f t="shared" ref="H37:K37" si="7">$E$37</f>
        <v>1635</v>
      </c>
      <c r="I37" s="17">
        <f t="shared" si="7"/>
        <v>1635</v>
      </c>
      <c r="J37" s="17">
        <f t="shared" si="7"/>
        <v>1635</v>
      </c>
      <c r="K37" s="17">
        <f t="shared" si="7"/>
        <v>1635</v>
      </c>
      <c r="M37" s="11" t="s">
        <v>228</v>
      </c>
    </row>
    <row r="38" spans="2:13" x14ac:dyDescent="0.15">
      <c r="B38" s="11" t="s">
        <v>219</v>
      </c>
      <c r="C38" s="16">
        <f>'BS source'!F12</f>
        <v>6607</v>
      </c>
      <c r="D38" s="16">
        <f>'BS source'!G12</f>
        <v>7240</v>
      </c>
      <c r="E38" s="16">
        <f>'BS source'!H12</f>
        <v>7359</v>
      </c>
      <c r="F38" s="16"/>
      <c r="G38" s="17">
        <f>E38-'Cash Flow'!G13+'Cash Flow'!G7</f>
        <v>11742.441774999999</v>
      </c>
      <c r="H38" s="17">
        <f>G38-'Cash Flow'!H13+'Cash Flow'!H7</f>
        <v>16346.894301875</v>
      </c>
      <c r="I38" s="17">
        <f>H38-'Cash Flow'!I13+'Cash Flow'!I7</f>
        <v>21183.728416779377</v>
      </c>
      <c r="J38" s="17">
        <f>I38-'Cash Flow'!J13+'Cash Flow'!J7</f>
        <v>26264.912164633646</v>
      </c>
      <c r="K38" s="17">
        <f>J38-'Cash Flow'!K13+'Cash Flow'!K7</f>
        <v>31603.042804787314</v>
      </c>
      <c r="M38" s="11" t="s">
        <v>242</v>
      </c>
    </row>
    <row r="39" spans="2:13" x14ac:dyDescent="0.15">
      <c r="B39" s="11" t="s">
        <v>220</v>
      </c>
      <c r="C39" s="16">
        <f>'BS source'!F14+'BS source'!F13</f>
        <v>15974</v>
      </c>
      <c r="D39" s="16">
        <f>'BS source'!G14+'BS source'!G13</f>
        <v>17323</v>
      </c>
      <c r="E39" s="16">
        <f>'BS source'!H14+'BS source'!H13</f>
        <v>17605</v>
      </c>
      <c r="G39" s="17">
        <f>$E$39</f>
        <v>17605</v>
      </c>
      <c r="H39" s="17">
        <f t="shared" ref="H39:K39" si="8">$E$39</f>
        <v>17605</v>
      </c>
      <c r="I39" s="17">
        <f t="shared" si="8"/>
        <v>17605</v>
      </c>
      <c r="J39" s="17">
        <f t="shared" si="8"/>
        <v>17605</v>
      </c>
      <c r="K39" s="17">
        <f t="shared" si="8"/>
        <v>17605</v>
      </c>
      <c r="M39" s="11" t="s">
        <v>228</v>
      </c>
    </row>
    <row r="40" spans="2:13" x14ac:dyDescent="0.15">
      <c r="B40" s="11" t="s">
        <v>221</v>
      </c>
      <c r="C40" s="16">
        <f>'BS source'!F15</f>
        <v>3970</v>
      </c>
      <c r="D40" s="16">
        <f>'BS source'!G15</f>
        <v>4052</v>
      </c>
      <c r="E40" s="16">
        <f>'BS source'!H15</f>
        <v>3766</v>
      </c>
      <c r="G40" s="17">
        <f>$E$40</f>
        <v>3766</v>
      </c>
      <c r="H40" s="17">
        <f t="shared" ref="H40:K40" si="9">$E$40</f>
        <v>3766</v>
      </c>
      <c r="I40" s="17">
        <f t="shared" si="9"/>
        <v>3766</v>
      </c>
      <c r="J40" s="17">
        <f t="shared" si="9"/>
        <v>3766</v>
      </c>
      <c r="K40" s="17">
        <f t="shared" si="9"/>
        <v>3766</v>
      </c>
      <c r="M40" s="11" t="s">
        <v>228</v>
      </c>
    </row>
    <row r="41" spans="2:13" x14ac:dyDescent="0.15">
      <c r="B41" s="11" t="s">
        <v>39</v>
      </c>
      <c r="C41" s="16">
        <f>'CF source'!D53</f>
        <v>1655</v>
      </c>
      <c r="D41" s="16">
        <f>'CF source'!E53</f>
        <v>2900</v>
      </c>
      <c r="E41" s="16">
        <f>'CF source'!F53</f>
        <v>3544</v>
      </c>
      <c r="G41" s="17">
        <f>'Cash Flow'!G27</f>
        <v>5176.3015919166655</v>
      </c>
      <c r="H41" s="17">
        <f>'Cash Flow'!H27</f>
        <v>6913.3741721895822</v>
      </c>
      <c r="I41" s="17">
        <f>'Cash Flow'!I27</f>
        <v>8765.4227452979776</v>
      </c>
      <c r="J41" s="17">
        <f>'Cash Flow'!J27</f>
        <v>10743.170959522844</v>
      </c>
      <c r="K41" s="17">
        <f>'Cash Flow'!K27</f>
        <v>12857.888011034018</v>
      </c>
      <c r="M41" s="11" t="s">
        <v>452</v>
      </c>
    </row>
    <row r="42" spans="2:13" x14ac:dyDescent="0.15">
      <c r="G42" s="17"/>
      <c r="H42" s="17"/>
      <c r="I42" s="17"/>
      <c r="J42" s="17"/>
      <c r="K42" s="17"/>
    </row>
    <row r="43" spans="2:13" ht="13" thickBot="1" x14ac:dyDescent="0.2">
      <c r="B43" s="32" t="s">
        <v>40</v>
      </c>
      <c r="C43" s="33">
        <f>SUM(C33:C41)</f>
        <v>43135</v>
      </c>
      <c r="D43" s="33">
        <f t="shared" ref="D43:K43" si="10">SUM(D33:D41)</f>
        <v>47957</v>
      </c>
      <c r="E43" s="33">
        <f t="shared" si="10"/>
        <v>48935</v>
      </c>
      <c r="F43" s="33">
        <f t="shared" si="10"/>
        <v>0</v>
      </c>
      <c r="G43" s="33">
        <f t="shared" si="10"/>
        <v>56226.596233669741</v>
      </c>
      <c r="H43" s="33">
        <f t="shared" si="10"/>
        <v>63833.781471793365</v>
      </c>
      <c r="I43" s="33">
        <f t="shared" si="10"/>
        <v>71861.171417655569</v>
      </c>
      <c r="J43" s="33">
        <f t="shared" si="10"/>
        <v>80336.691809925964</v>
      </c>
      <c r="K43" s="33">
        <f t="shared" si="10"/>
        <v>89289.715037123562</v>
      </c>
    </row>
    <row r="44" spans="2:13" x14ac:dyDescent="0.15">
      <c r="C44" s="16"/>
      <c r="D44" s="16"/>
      <c r="E44" s="16"/>
      <c r="F44" s="16"/>
      <c r="G44" s="17"/>
      <c r="H44" s="17"/>
      <c r="I44" s="17"/>
      <c r="J44" s="17"/>
      <c r="K44" s="17"/>
    </row>
    <row r="45" spans="2:13" x14ac:dyDescent="0.15">
      <c r="B45" s="11" t="s">
        <v>237</v>
      </c>
      <c r="C45" s="16">
        <f>SUMIF(Assumptions!$B:$B,'P&amp;L and BS'!$B45,Assumptions!C:C)</f>
        <v>9121</v>
      </c>
      <c r="D45" s="16">
        <f>SUMIF(Assumptions!$B:$B,'P&amp;L and BS'!$B45,Assumptions!D:D)</f>
        <v>10904</v>
      </c>
      <c r="E45" s="16">
        <f>SUMIF(Assumptions!$B:$B,'P&amp;L and BS'!$B45,Assumptions!E:E)</f>
        <v>10375</v>
      </c>
      <c r="F45" s="16">
        <f>SUMIF(Assumptions!$B:$B,'P&amp;L and BS'!$B45,Assumptions!F:F)</f>
        <v>0</v>
      </c>
      <c r="G45" s="17">
        <f>SUMIF(Assumptions!$B:$B,'P&amp;L and BS'!$B45,Assumptions!G:G)</f>
        <v>12048.902609931505</v>
      </c>
      <c r="H45" s="17">
        <f>SUMIF(Assumptions!$B:$B,'P&amp;L and BS'!$B45,Assumptions!H:H)</f>
        <v>12660.856919433218</v>
      </c>
      <c r="I45" s="17">
        <f>SUMIF(Assumptions!$B:$B,'P&amp;L and BS'!$B45,Assumptions!I:I)</f>
        <v>13304.534394385795</v>
      </c>
      <c r="J45" s="17">
        <f>SUMIF(Assumptions!$B:$B,'P&amp;L and BS'!$B45,Assumptions!J:J)</f>
        <v>13981.613690525925</v>
      </c>
      <c r="K45" s="17">
        <f>SUMIF(Assumptions!$B:$B,'P&amp;L and BS'!$B45,Assumptions!K:K)</f>
        <v>14693.864069895923</v>
      </c>
    </row>
    <row r="46" spans="2:13" x14ac:dyDescent="0.15">
      <c r="B46" s="11" t="s">
        <v>222</v>
      </c>
      <c r="C46" s="16">
        <f>SUMIF(Assumptions!$B:$B,'P&amp;L and BS'!$B46,Assumptions!C:C)</f>
        <v>1002</v>
      </c>
      <c r="D46" s="16">
        <f>SUMIF(Assumptions!$B:$B,'P&amp;L and BS'!$B46,Assumptions!D:D)</f>
        <v>994</v>
      </c>
      <c r="E46" s="16">
        <f>SUMIF(Assumptions!$B:$B,'P&amp;L and BS'!$B46,Assumptions!E:E)</f>
        <v>982</v>
      </c>
      <c r="F46" s="16">
        <f>SUMIF(Assumptions!$B:$B,'P&amp;L and BS'!$B46,Assumptions!F:F)</f>
        <v>0</v>
      </c>
      <c r="G46" s="17">
        <f>SUMIF(Assumptions!$B:$B,'P&amp;L and BS'!$B46,Assumptions!G:G)</f>
        <v>1313.429691</v>
      </c>
      <c r="H46" s="17">
        <f>SUMIF(Assumptions!$B:$B,'P&amp;L and BS'!$B46,Assumptions!H:H)</f>
        <v>1377.409145175</v>
      </c>
      <c r="I46" s="17">
        <f>SUMIF(Assumptions!$B:$B,'P&amp;L and BS'!$B46,Assumptions!I:I)</f>
        <v>1444.5601818726745</v>
      </c>
      <c r="J46" s="17">
        <f>SUMIF(Assumptions!$B:$B,'P&amp;L and BS'!$B46,Assumptions!J:J)</f>
        <v>1515.0430727316339</v>
      </c>
      <c r="K46" s="17">
        <f>SUMIF(Assumptions!$B:$B,'P&amp;L and BS'!$B46,Assumptions!K:K)</f>
        <v>1589.0263546397264</v>
      </c>
    </row>
    <row r="47" spans="2:13" x14ac:dyDescent="0.15">
      <c r="B47" s="11" t="s">
        <v>223</v>
      </c>
      <c r="C47" s="16">
        <f>SUMIF(Assumptions!$B:$B,'P&amp;L and BS'!$B47,Assumptions!C:C)</f>
        <v>1632</v>
      </c>
      <c r="D47" s="16">
        <f>SUMIF(Assumptions!$B:$B,'P&amp;L and BS'!$B47,Assumptions!D:D)</f>
        <v>1123</v>
      </c>
      <c r="E47" s="16">
        <f>SUMIF(Assumptions!$B:$B,'P&amp;L and BS'!$B47,Assumptions!E:E)</f>
        <v>1051</v>
      </c>
      <c r="F47" s="16">
        <f>SUMIF(Assumptions!$B:$B,'P&amp;L and BS'!$B47,Assumptions!F:F)</f>
        <v>0</v>
      </c>
      <c r="G47" s="17">
        <f>SUMIF(Assumptions!$B:$B,'P&amp;L and BS'!$B47,Assumptions!G:G)</f>
        <v>1086.6599999999999</v>
      </c>
      <c r="H47" s="17">
        <f>SUMIF(Assumptions!$B:$B,'P&amp;L and BS'!$B47,Assumptions!H:H)</f>
        <v>1089.8694</v>
      </c>
      <c r="I47" s="17">
        <f>SUMIF(Assumptions!$B:$B,'P&amp;L and BS'!$B47,Assumptions!I:I)</f>
        <v>1090.158246</v>
      </c>
      <c r="J47" s="17">
        <f>SUMIF(Assumptions!$B:$B,'P&amp;L and BS'!$B47,Assumptions!J:J)</f>
        <v>1090.1842421399999</v>
      </c>
      <c r="K47" s="17">
        <f>SUMIF(Assumptions!$B:$B,'P&amp;L and BS'!$B47,Assumptions!K:K)</f>
        <v>1090.1865817926</v>
      </c>
    </row>
    <row r="48" spans="2:13" x14ac:dyDescent="0.15">
      <c r="B48" s="11" t="s">
        <v>115</v>
      </c>
      <c r="C48" s="16">
        <f>'BS source'!N7</f>
        <v>263</v>
      </c>
      <c r="D48" s="16">
        <f>'BS source'!O7</f>
        <v>374</v>
      </c>
      <c r="E48" s="16">
        <f>'BS source'!P7</f>
        <v>403</v>
      </c>
      <c r="F48" s="16"/>
      <c r="G48" s="17">
        <f>$E$48</f>
        <v>403</v>
      </c>
      <c r="H48" s="17">
        <f t="shared" ref="H48:K48" si="11">$E$48</f>
        <v>403</v>
      </c>
      <c r="I48" s="17">
        <f t="shared" si="11"/>
        <v>403</v>
      </c>
      <c r="J48" s="17">
        <f t="shared" si="11"/>
        <v>403</v>
      </c>
      <c r="K48" s="17">
        <f t="shared" si="11"/>
        <v>403</v>
      </c>
      <c r="M48" s="11" t="s">
        <v>228</v>
      </c>
    </row>
    <row r="49" spans="2:13" x14ac:dyDescent="0.15">
      <c r="B49" s="11" t="s">
        <v>116</v>
      </c>
      <c r="C49" s="16">
        <f>SUMIF(Assumptions!$B:$B,'P&amp;L and BS'!$B49,Assumptions!C:C)</f>
        <v>10594</v>
      </c>
      <c r="D49" s="16">
        <f>SUMIF(Assumptions!$B:$B,'P&amp;L and BS'!$B49,Assumptions!D:D)</f>
        <v>10842</v>
      </c>
      <c r="E49" s="16">
        <f>SUMIF(Assumptions!$B:$B,'P&amp;L and BS'!$B49,Assumptions!E:E)</f>
        <v>11023</v>
      </c>
      <c r="F49" s="16">
        <f>SUMIF(Assumptions!$B:$B,'P&amp;L and BS'!$B49,Assumptions!F:F)</f>
        <v>0</v>
      </c>
      <c r="G49" s="17">
        <f>SUMIF(Assumptions!$B:$B,'P&amp;L and BS'!$B49,Assumptions!G:G)</f>
        <v>11023</v>
      </c>
      <c r="H49" s="17">
        <f>SUMIF(Assumptions!$B:$B,'P&amp;L and BS'!$B49,Assumptions!H:H)</f>
        <v>11023</v>
      </c>
      <c r="I49" s="17">
        <f>SUMIF(Assumptions!$B:$B,'P&amp;L and BS'!$B49,Assumptions!I:I)</f>
        <v>11023</v>
      </c>
      <c r="J49" s="17">
        <f>SUMIF(Assumptions!$B:$B,'P&amp;L and BS'!$B49,Assumptions!J:J)</f>
        <v>11023</v>
      </c>
      <c r="K49" s="17">
        <f>SUMIF(Assumptions!$B:$B,'P&amp;L and BS'!$B49,Assumptions!K:K)</f>
        <v>11023</v>
      </c>
    </row>
    <row r="50" spans="2:13" x14ac:dyDescent="0.15">
      <c r="B50" s="11" t="s">
        <v>258</v>
      </c>
      <c r="C50" s="16">
        <f>SUM('BS source'!N11:N13)</f>
        <v>2534</v>
      </c>
      <c r="D50" s="16">
        <f>SUM('BS source'!O11:O13)</f>
        <v>2361</v>
      </c>
      <c r="E50" s="16">
        <f>SUM('BS source'!P11:P13)</f>
        <v>2751</v>
      </c>
      <c r="F50" s="16"/>
      <c r="G50" s="17">
        <f>$E$50</f>
        <v>2751</v>
      </c>
      <c r="H50" s="17">
        <f t="shared" ref="H50:K50" si="12">$E$50</f>
        <v>2751</v>
      </c>
      <c r="I50" s="17">
        <f t="shared" si="12"/>
        <v>2751</v>
      </c>
      <c r="J50" s="17">
        <f t="shared" si="12"/>
        <v>2751</v>
      </c>
      <c r="K50" s="17">
        <f t="shared" si="12"/>
        <v>2751</v>
      </c>
      <c r="M50" s="11" t="s">
        <v>228</v>
      </c>
    </row>
    <row r="51" spans="2:13" x14ac:dyDescent="0.15">
      <c r="B51" s="11" t="s">
        <v>224</v>
      </c>
      <c r="C51" s="11">
        <f>'BS source'!N18</f>
        <v>10719</v>
      </c>
      <c r="D51" s="11">
        <f>'BS source'!O18</f>
        <v>13497</v>
      </c>
      <c r="E51" s="11">
        <f>'BS source'!P18</f>
        <v>16395</v>
      </c>
      <c r="F51" s="11">
        <f>'BS source'!Q18</f>
        <v>0</v>
      </c>
      <c r="G51" s="23">
        <f>G43-SUM(G45:G50,G52:G54)</f>
        <v>16695.603932738239</v>
      </c>
      <c r="H51" s="23">
        <f t="shared" ref="H51:K51" si="13">H43-SUM(H45:H50,H52:H54)</f>
        <v>23623.646007185147</v>
      </c>
      <c r="I51" s="23">
        <f t="shared" si="13"/>
        <v>30939.918595397103</v>
      </c>
      <c r="J51" s="23">
        <f t="shared" si="13"/>
        <v>38667.850804528403</v>
      </c>
      <c r="K51" s="23">
        <f t="shared" si="13"/>
        <v>46834.638030795308</v>
      </c>
      <c r="M51" s="11" t="s">
        <v>453</v>
      </c>
    </row>
    <row r="52" spans="2:13" x14ac:dyDescent="0.15">
      <c r="B52" s="11" t="s">
        <v>229</v>
      </c>
      <c r="C52" s="11">
        <f>'BS source'!N16+'BS source'!N17</f>
        <v>10821</v>
      </c>
      <c r="D52" s="11">
        <f>'BS source'!O16+'BS source'!O17</f>
        <v>10946</v>
      </c>
      <c r="E52" s="11">
        <f>'BS source'!P16+'BS source'!P17</f>
        <v>9685</v>
      </c>
      <c r="F52" s="11">
        <f>'BS source'!Q16+'BS source'!Q17</f>
        <v>0</v>
      </c>
      <c r="G52" s="23">
        <f>$E$52</f>
        <v>9685</v>
      </c>
      <c r="H52" s="23">
        <f t="shared" ref="H52:K52" si="14">$E$52</f>
        <v>9685</v>
      </c>
      <c r="I52" s="23">
        <f t="shared" si="14"/>
        <v>9685</v>
      </c>
      <c r="J52" s="23">
        <f t="shared" si="14"/>
        <v>9685</v>
      </c>
      <c r="K52" s="23">
        <f t="shared" si="14"/>
        <v>9685</v>
      </c>
      <c r="M52" s="11" t="s">
        <v>230</v>
      </c>
    </row>
    <row r="53" spans="2:13" x14ac:dyDescent="0.15">
      <c r="B53" s="11" t="s">
        <v>225</v>
      </c>
      <c r="C53" s="16">
        <f>'BS source'!N21</f>
        <v>304</v>
      </c>
      <c r="D53" s="16">
        <f>'BS source'!O21</f>
        <v>1170</v>
      </c>
      <c r="E53" s="16">
        <f>'BS source'!P21</f>
        <v>1220</v>
      </c>
      <c r="F53" s="16"/>
      <c r="G53" s="17">
        <f>$E$53</f>
        <v>1220</v>
      </c>
      <c r="H53" s="17">
        <f t="shared" ref="H53:K53" si="15">$E$53</f>
        <v>1220</v>
      </c>
      <c r="I53" s="17">
        <f t="shared" si="15"/>
        <v>1220</v>
      </c>
      <c r="J53" s="17">
        <f t="shared" si="15"/>
        <v>1220</v>
      </c>
      <c r="K53" s="17">
        <f t="shared" si="15"/>
        <v>1220</v>
      </c>
      <c r="M53" s="11" t="s">
        <v>231</v>
      </c>
    </row>
    <row r="54" spans="2:13" x14ac:dyDescent="0.15">
      <c r="B54" s="11" t="s">
        <v>122</v>
      </c>
      <c r="C54" s="16">
        <f>'BS source'!N19</f>
        <v>-3855</v>
      </c>
      <c r="D54" s="16">
        <f>'BS source'!O19</f>
        <v>-4254</v>
      </c>
      <c r="E54" s="16">
        <f>'BS source'!P19</f>
        <v>-4950</v>
      </c>
      <c r="F54" s="16"/>
      <c r="G54" s="17">
        <v>0</v>
      </c>
      <c r="H54" s="17">
        <v>0</v>
      </c>
      <c r="I54" s="17">
        <v>0</v>
      </c>
      <c r="J54" s="17">
        <v>0</v>
      </c>
      <c r="K54" s="17">
        <v>0</v>
      </c>
      <c r="M54" s="11" t="s">
        <v>281</v>
      </c>
    </row>
    <row r="55" spans="2:13" ht="13" thickBot="1" x14ac:dyDescent="0.2">
      <c r="B55" s="32" t="s">
        <v>41</v>
      </c>
      <c r="C55" s="33">
        <f>SUM(C45:C54)</f>
        <v>43135</v>
      </c>
      <c r="D55" s="33">
        <f t="shared" ref="D55:E55" si="16">SUM(D45:D54)</f>
        <v>47957</v>
      </c>
      <c r="E55" s="33">
        <f t="shared" si="16"/>
        <v>48935</v>
      </c>
      <c r="F55" s="33">
        <f t="shared" ref="F55" si="17">SUM(F45:F53)</f>
        <v>0</v>
      </c>
      <c r="G55" s="33">
        <f>SUM(G45:G54)</f>
        <v>56226.596233669741</v>
      </c>
      <c r="H55" s="33">
        <f t="shared" ref="H55:K55" si="18">SUM(H45:H54)</f>
        <v>63833.781471793365</v>
      </c>
      <c r="I55" s="33">
        <f t="shared" si="18"/>
        <v>71861.171417655569</v>
      </c>
      <c r="J55" s="33">
        <f t="shared" si="18"/>
        <v>80336.691809925964</v>
      </c>
      <c r="K55" s="33">
        <f t="shared" si="18"/>
        <v>89289.715037123562</v>
      </c>
    </row>
    <row r="56" spans="2:13" x14ac:dyDescent="0.15">
      <c r="G56" s="16"/>
      <c r="H56" s="16"/>
      <c r="I56" s="16"/>
      <c r="J56" s="16"/>
      <c r="K56" s="16"/>
    </row>
    <row r="57" spans="2:13" x14ac:dyDescent="0.15">
      <c r="B57" s="11" t="s">
        <v>42</v>
      </c>
      <c r="C57" s="11">
        <f>C55-C43</f>
        <v>0</v>
      </c>
      <c r="D57" s="11">
        <f t="shared" ref="D57:K57" si="19">D55-D43</f>
        <v>0</v>
      </c>
      <c r="E57" s="11">
        <f t="shared" si="19"/>
        <v>0</v>
      </c>
      <c r="G57" s="11">
        <f t="shared" si="19"/>
        <v>0</v>
      </c>
      <c r="H57" s="11">
        <f t="shared" si="19"/>
        <v>0</v>
      </c>
      <c r="I57" s="11">
        <f t="shared" si="19"/>
        <v>0</v>
      </c>
      <c r="J57" s="11">
        <f t="shared" si="19"/>
        <v>0</v>
      </c>
      <c r="K57" s="11">
        <f t="shared" si="19"/>
        <v>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AB93-D0BE-E84C-890E-889D3D7ABAF7}">
  <dimension ref="B1:O57"/>
  <sheetViews>
    <sheetView topLeftCell="A19" zoomScale="136" zoomScaleNormal="130" workbookViewId="0">
      <selection activeCell="G49" sqref="G49:K50"/>
    </sheetView>
  </sheetViews>
  <sheetFormatPr baseColWidth="10" defaultColWidth="9.1640625" defaultRowHeight="12" x14ac:dyDescent="0.15"/>
  <cols>
    <col min="1" max="1" width="2" style="35" customWidth="1"/>
    <col min="2" max="2" width="36.5" style="35" bestFit="1" customWidth="1"/>
    <col min="3" max="3" width="9.1640625" style="35" customWidth="1"/>
    <col min="4" max="4" width="9.5" style="35" bestFit="1" customWidth="1"/>
    <col min="5" max="5" width="9.1640625" style="35"/>
    <col min="6" max="6" width="2" style="35" customWidth="1"/>
    <col min="7" max="11" width="9.1640625" style="35"/>
    <col min="12" max="12" width="2" style="35" customWidth="1"/>
    <col min="13" max="15" width="9.1640625" style="35"/>
    <col min="16" max="16" width="12.83203125" style="35" bestFit="1" customWidth="1"/>
    <col min="17" max="16384" width="9.1640625" style="35"/>
  </cols>
  <sheetData>
    <row r="1" spans="2:13" ht="16" x14ac:dyDescent="0.2">
      <c r="B1" s="34" t="s">
        <v>7</v>
      </c>
      <c r="C1" s="34"/>
    </row>
    <row r="3" spans="2:13" ht="27" thickBot="1" x14ac:dyDescent="0.2">
      <c r="B3" s="12" t="s">
        <v>99</v>
      </c>
      <c r="C3" s="12"/>
      <c r="D3" s="13" t="s">
        <v>182</v>
      </c>
      <c r="E3" s="13" t="s">
        <v>183</v>
      </c>
      <c r="F3" s="14"/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  <c r="L3" s="11"/>
      <c r="M3" s="25" t="s">
        <v>30</v>
      </c>
    </row>
    <row r="4" spans="2:13" x14ac:dyDescent="0.15">
      <c r="B4" s="37" t="s">
        <v>68</v>
      </c>
      <c r="C4" s="37"/>
      <c r="D4" s="37">
        <f>'P&amp;L and BS'!D27</f>
        <v>4275</v>
      </c>
      <c r="E4" s="37">
        <f>'P&amp;L and BS'!E27</f>
        <v>4579</v>
      </c>
      <c r="F4" s="37">
        <f>'P&amp;L and BS'!F27</f>
        <v>0</v>
      </c>
      <c r="G4" s="38">
        <f>'P&amp;L and BS'!G27</f>
        <v>5253.7187639999984</v>
      </c>
      <c r="H4" s="38">
        <f>'P&amp;L and BS'!H27</f>
        <v>5509.6365806999993</v>
      </c>
      <c r="I4" s="38">
        <f>'P&amp;L and BS'!I27</f>
        <v>5778.2407274906973</v>
      </c>
      <c r="J4" s="38">
        <f>'P&amp;L and BS'!J27</f>
        <v>6060.1722909265336</v>
      </c>
      <c r="K4" s="38">
        <f>'P&amp;L and BS'!K27</f>
        <v>6356.1054185589046</v>
      </c>
    </row>
    <row r="5" spans="2:13" x14ac:dyDescent="0.15">
      <c r="G5" s="36"/>
      <c r="H5" s="36"/>
      <c r="I5" s="36"/>
      <c r="J5" s="36"/>
      <c r="K5" s="36"/>
    </row>
    <row r="6" spans="2:13" x14ac:dyDescent="0.15">
      <c r="B6" s="37" t="s">
        <v>260</v>
      </c>
      <c r="G6" s="36"/>
      <c r="H6" s="36"/>
      <c r="I6" s="36"/>
      <c r="J6" s="36"/>
      <c r="K6" s="36"/>
    </row>
    <row r="7" spans="2:13" x14ac:dyDescent="0.15">
      <c r="B7" s="116" t="s">
        <v>27</v>
      </c>
      <c r="D7" s="35">
        <f>ABS(SUMIF(Assumptions!$B:$B,$B7,Assumptions!D:D))</f>
        <v>2312</v>
      </c>
      <c r="E7" s="35">
        <f>ABS(SUMIF(Assumptions!$B:$B,$B7,Assumptions!E:E))</f>
        <v>2519</v>
      </c>
      <c r="F7" s="35">
        <f>ABS(SUMIF(Assumptions!$B:$B,$B7,Assumptions!F:F))</f>
        <v>0</v>
      </c>
      <c r="G7" s="36">
        <f>ABS(SUMIF(Assumptions!$B:$B,$B7,Assumptions!G:G))</f>
        <v>2668.1819499999997</v>
      </c>
      <c r="H7" s="36">
        <f>ABS(SUMIF(Assumptions!$B:$B,$B7,Assumptions!H:H))</f>
        <v>2802.71023375</v>
      </c>
      <c r="I7" s="36">
        <f>ABS(SUMIF(Assumptions!$B:$B,$B7,Assumptions!I:I))</f>
        <v>2944.1598960287502</v>
      </c>
      <c r="J7" s="36">
        <f>ABS(SUMIF(Assumptions!$B:$B,$B7,Assumptions!J:J))</f>
        <v>3092.894455215644</v>
      </c>
      <c r="K7" s="36">
        <f>ABS(SUMIF(Assumptions!$B:$B,$B7,Assumptions!K:K))</f>
        <v>3249.2969113978838</v>
      </c>
    </row>
    <row r="8" spans="2:13" x14ac:dyDescent="0.15">
      <c r="B8" s="116" t="s">
        <v>261</v>
      </c>
      <c r="D8" s="35">
        <f>SUMIF(Assumptions!$B:$B,$B8,Assumptions!D:D)</f>
        <v>-249</v>
      </c>
      <c r="E8" s="35">
        <f>SUMIF(Assumptions!$B:$B,$B8,Assumptions!E:E)</f>
        <v>-1294</v>
      </c>
      <c r="F8" s="35">
        <f>SUMIF(Assumptions!$B:$B,$B8,Assumptions!F:F)</f>
        <v>0</v>
      </c>
      <c r="G8" s="36">
        <f>SUMIF(Assumptions!$B:$B,$B8,Assumptions!G:G)</f>
        <v>-381.16884999999996</v>
      </c>
      <c r="H8" s="36">
        <f>SUMIF(Assumptions!$B:$B,$B8,Assumptions!H:H)</f>
        <v>-400.38717624999998</v>
      </c>
      <c r="I8" s="36">
        <f>SUMIF(Assumptions!$B:$B,$B8,Assumptions!I:I)</f>
        <v>-420.59427086124998</v>
      </c>
      <c r="J8" s="36">
        <f>SUMIF(Assumptions!$B:$B,$B8,Assumptions!J:J)</f>
        <v>-441.84206503080628</v>
      </c>
      <c r="K8" s="36">
        <f>SUMIF(Assumptions!$B:$B,$B8,Assumptions!K:K)</f>
        <v>-464.18527305684051</v>
      </c>
    </row>
    <row r="9" spans="2:13" x14ac:dyDescent="0.15">
      <c r="B9" s="116" t="s">
        <v>270</v>
      </c>
      <c r="D9" s="35">
        <f>SUM('CF source'!E8,'CF source'!E10:E12)</f>
        <v>299</v>
      </c>
      <c r="E9" s="35">
        <f>SUM('CF source'!F8,'CF source'!F10:F12)</f>
        <v>798</v>
      </c>
      <c r="G9" s="36">
        <v>0</v>
      </c>
      <c r="H9" s="36">
        <v>0</v>
      </c>
      <c r="I9" s="36">
        <v>0</v>
      </c>
      <c r="J9" s="36">
        <v>0</v>
      </c>
      <c r="K9" s="36">
        <v>0</v>
      </c>
      <c r="M9" s="35" t="s">
        <v>281</v>
      </c>
    </row>
    <row r="10" spans="2:13" ht="13" thickBot="1" x14ac:dyDescent="0.2">
      <c r="B10" s="115" t="s">
        <v>271</v>
      </c>
      <c r="C10" s="115"/>
      <c r="D10" s="115">
        <f>SUM(D4,D7:D9)</f>
        <v>6637</v>
      </c>
      <c r="E10" s="115">
        <f t="shared" ref="E10:K10" si="0">SUM(E4,E7:E9)</f>
        <v>6602</v>
      </c>
      <c r="F10" s="115">
        <f t="shared" si="0"/>
        <v>0</v>
      </c>
      <c r="G10" s="117">
        <f t="shared" si="0"/>
        <v>7540.7318639999976</v>
      </c>
      <c r="H10" s="117">
        <f t="shared" si="0"/>
        <v>7911.9596382</v>
      </c>
      <c r="I10" s="117">
        <f t="shared" si="0"/>
        <v>8301.8063526581973</v>
      </c>
      <c r="J10" s="117">
        <f t="shared" si="0"/>
        <v>8711.224681111371</v>
      </c>
      <c r="K10" s="117">
        <f t="shared" si="0"/>
        <v>9141.2170568999481</v>
      </c>
    </row>
    <row r="11" spans="2:13" ht="13" customHeight="1" x14ac:dyDescent="0.15">
      <c r="G11" s="36"/>
      <c r="H11" s="36"/>
      <c r="I11" s="36"/>
      <c r="J11" s="36"/>
      <c r="K11" s="36"/>
    </row>
    <row r="12" spans="2:13" x14ac:dyDescent="0.15">
      <c r="B12" s="37" t="s">
        <v>262</v>
      </c>
      <c r="G12" s="36"/>
      <c r="H12" s="36"/>
      <c r="I12" s="36"/>
      <c r="J12" s="36"/>
      <c r="K12" s="36"/>
    </row>
    <row r="13" spans="2:13" x14ac:dyDescent="0.15">
      <c r="B13" s="116" t="s">
        <v>263</v>
      </c>
      <c r="D13" s="35">
        <f>SUMIF(Assumptions!$B:$B,$B13,Assumptions!D:D)</f>
        <v>-1939</v>
      </c>
      <c r="E13" s="35">
        <f>SUMIF(Assumptions!$B:$B,$B13,Assumptions!E:E)</f>
        <v>-1931</v>
      </c>
      <c r="F13" s="35">
        <f>SUMIF(Assumptions!$B:$B,$B13,Assumptions!F:F)</f>
        <v>0</v>
      </c>
      <c r="G13" s="36">
        <f>SUMIF(Assumptions!$B:$B,$B13,Assumptions!G:G)</f>
        <v>-1715.2598249999996</v>
      </c>
      <c r="H13" s="36">
        <f>SUMIF(Assumptions!$B:$B,$B13,Assumptions!H:H)</f>
        <v>-1801.7422931249998</v>
      </c>
      <c r="I13" s="36">
        <f>SUMIF(Assumptions!$B:$B,$B13,Assumptions!I:I)</f>
        <v>-1892.6742188756248</v>
      </c>
      <c r="J13" s="36">
        <f>SUMIF(Assumptions!$B:$B,$B13,Assumptions!J:J)</f>
        <v>-1988.289292638628</v>
      </c>
      <c r="K13" s="36">
        <f>SUMIF(Assumptions!$B:$B,$B13,Assumptions!K:K)</f>
        <v>-2088.8337287557824</v>
      </c>
    </row>
    <row r="14" spans="2:13" x14ac:dyDescent="0.15">
      <c r="B14" s="116" t="s">
        <v>272</v>
      </c>
      <c r="D14" s="35">
        <f>SUM('CF source'!E26:E35)</f>
        <v>-844</v>
      </c>
      <c r="E14" s="35">
        <f>SUM('CF source'!F26:F35)</f>
        <v>-1214</v>
      </c>
      <c r="G14" s="36">
        <f>$E$14</f>
        <v>-1214</v>
      </c>
      <c r="H14" s="36">
        <f t="shared" ref="H14:K14" si="1">$E$14</f>
        <v>-1214</v>
      </c>
      <c r="I14" s="36">
        <f t="shared" si="1"/>
        <v>-1214</v>
      </c>
      <c r="J14" s="36">
        <f t="shared" si="1"/>
        <v>-1214</v>
      </c>
      <c r="K14" s="36">
        <f t="shared" si="1"/>
        <v>-1214</v>
      </c>
      <c r="M14" s="35" t="s">
        <v>228</v>
      </c>
    </row>
    <row r="15" spans="2:13" ht="13" thickBot="1" x14ac:dyDescent="0.2">
      <c r="B15" s="115" t="s">
        <v>276</v>
      </c>
      <c r="C15" s="115"/>
      <c r="D15" s="115">
        <f>SUM(D13:D14)</f>
        <v>-2783</v>
      </c>
      <c r="E15" s="115">
        <f t="shared" ref="E15:K15" si="2">SUM(E13:E14)</f>
        <v>-3145</v>
      </c>
      <c r="F15" s="115">
        <f t="shared" si="2"/>
        <v>0</v>
      </c>
      <c r="G15" s="117">
        <f t="shared" si="2"/>
        <v>-2929.2598249999996</v>
      </c>
      <c r="H15" s="117">
        <f t="shared" si="2"/>
        <v>-3015.7422931249998</v>
      </c>
      <c r="I15" s="117">
        <f t="shared" si="2"/>
        <v>-3106.6742188756248</v>
      </c>
      <c r="J15" s="117">
        <f t="shared" si="2"/>
        <v>-3202.289292638628</v>
      </c>
      <c r="K15" s="117">
        <f t="shared" si="2"/>
        <v>-3302.8337287557824</v>
      </c>
    </row>
    <row r="16" spans="2:13" x14ac:dyDescent="0.15">
      <c r="G16" s="36"/>
      <c r="H16" s="36"/>
      <c r="I16" s="36"/>
      <c r="J16" s="36"/>
      <c r="K16" s="36"/>
    </row>
    <row r="17" spans="2:13" ht="12" customHeight="1" x14ac:dyDescent="0.15">
      <c r="B17" s="37" t="s">
        <v>264</v>
      </c>
      <c r="G17" s="36"/>
      <c r="H17" s="36"/>
      <c r="I17" s="36"/>
      <c r="J17" s="36"/>
      <c r="K17" s="36"/>
    </row>
    <row r="18" spans="2:13" x14ac:dyDescent="0.15">
      <c r="B18" s="116" t="s">
        <v>273</v>
      </c>
      <c r="D18" s="35">
        <f>SUMIF(Assumptions!$B:$B,$B18,Assumptions!D:D)</f>
        <v>-582</v>
      </c>
      <c r="E18" s="35">
        <f>SUMIF(Assumptions!$B:$B,$B18,Assumptions!E:E)</f>
        <v>405</v>
      </c>
      <c r="F18" s="35">
        <f>SUMIF(Assumptions!$B:$B,$B18,Assumptions!F:F)</f>
        <v>0</v>
      </c>
      <c r="G18" s="36">
        <f>SUMIF(Assumptions!$B:$B,$B18,Assumptions!G:G)</f>
        <v>405</v>
      </c>
      <c r="H18" s="36">
        <f>SUMIF(Assumptions!$B:$B,$B18,Assumptions!H:H)</f>
        <v>405</v>
      </c>
      <c r="I18" s="36">
        <f>SUMIF(Assumptions!$B:$B,$B18,Assumptions!I:I)</f>
        <v>405</v>
      </c>
      <c r="J18" s="36">
        <f>SUMIF(Assumptions!$B:$B,$B18,Assumptions!J:J)</f>
        <v>405</v>
      </c>
      <c r="K18" s="36">
        <f>SUMIF(Assumptions!$B:$B,$B18,Assumptions!K:K)</f>
        <v>405</v>
      </c>
    </row>
    <row r="19" spans="2:13" x14ac:dyDescent="0.15">
      <c r="B19" s="116" t="s">
        <v>265</v>
      </c>
      <c r="D19" s="35">
        <f>SUMIF(Assumptions!$B:$B,$B19,Assumptions!D:D)</f>
        <v>-1317</v>
      </c>
      <c r="E19" s="35">
        <f>SUMIF(Assumptions!$B:$B,$B19,Assumptions!E:E)</f>
        <v>-1533</v>
      </c>
      <c r="F19" s="35">
        <f>SUMIF(Assumptions!$B:$B,$B19,Assumptions!F:F)</f>
        <v>0</v>
      </c>
      <c r="G19" s="36">
        <f>SUMIF(Assumptions!$B:$B,$B19,Assumptions!G:G)</f>
        <v>-1641.8371137499998</v>
      </c>
      <c r="H19" s="36">
        <f>SUMIF(Assumptions!$B:$B,$B19,Assumptions!H:H)</f>
        <v>-1721.8114314687498</v>
      </c>
      <c r="I19" s="36">
        <f>SUMIF(Assumptions!$B:$B,$B19,Assumptions!I:I)</f>
        <v>-1805.7502273408431</v>
      </c>
      <c r="J19" s="36">
        <f>SUMIF(Assumptions!$B:$B,$B19,Assumptions!J:J)</f>
        <v>-1893.8538409145422</v>
      </c>
      <c r="K19" s="36">
        <f>SUMIF(Assumptions!$B:$B,$B19,Assumptions!K:K)</f>
        <v>-1986.3329432996577</v>
      </c>
    </row>
    <row r="20" spans="2:13" ht="12" customHeight="1" x14ac:dyDescent="0.15">
      <c r="B20" s="116" t="s">
        <v>274</v>
      </c>
      <c r="D20" s="35">
        <f>SUMIF(Assumptions!$B:$B,$B20,Assumptions!D:D)</f>
        <v>-582</v>
      </c>
      <c r="E20" s="35">
        <f>SUMIF(Assumptions!$B:$B,$B20,Assumptions!E:E)</f>
        <v>-1579</v>
      </c>
      <c r="F20" s="35">
        <f>SUMIF(Assumptions!$B:$B,$B20,Assumptions!F:F)</f>
        <v>0</v>
      </c>
      <c r="G20" s="36">
        <f>SUMIF(Assumptions!$B:$B,$B20,Assumptions!G:G)</f>
        <v>-1679</v>
      </c>
      <c r="H20" s="36">
        <f>SUMIF(Assumptions!$B:$B,$B20,Assumptions!H:H)</f>
        <v>-1779</v>
      </c>
      <c r="I20" s="36">
        <f>SUMIF(Assumptions!$B:$B,$B20,Assumptions!I:I)</f>
        <v>-1879</v>
      </c>
      <c r="J20" s="36">
        <f>SUMIF(Assumptions!$B:$B,$B20,Assumptions!J:J)</f>
        <v>-1979</v>
      </c>
      <c r="K20" s="36">
        <f>SUMIF(Assumptions!$B:$B,$B20,Assumptions!K:K)</f>
        <v>-2079</v>
      </c>
    </row>
    <row r="21" spans="2:13" x14ac:dyDescent="0.15">
      <c r="B21" s="116" t="s">
        <v>275</v>
      </c>
      <c r="D21" s="35">
        <f>'CF source'!E47</f>
        <v>-31</v>
      </c>
      <c r="E21" s="35">
        <f>'CF source'!F47</f>
        <v>-65</v>
      </c>
      <c r="G21" s="36">
        <v>0</v>
      </c>
      <c r="H21" s="36">
        <v>0</v>
      </c>
      <c r="I21" s="36">
        <v>0</v>
      </c>
      <c r="J21" s="36">
        <v>0</v>
      </c>
      <c r="K21" s="36">
        <v>0</v>
      </c>
      <c r="M21" s="35" t="s">
        <v>281</v>
      </c>
    </row>
    <row r="22" spans="2:13" ht="12" customHeight="1" thickBot="1" x14ac:dyDescent="0.2">
      <c r="B22" s="115" t="s">
        <v>277</v>
      </c>
      <c r="C22" s="115"/>
      <c r="D22" s="115">
        <f>SUM(D18:D21)</f>
        <v>-2512</v>
      </c>
      <c r="E22" s="115">
        <f t="shared" ref="E22:K22" si="3">SUM(E18:E21)</f>
        <v>-2772</v>
      </c>
      <c r="F22" s="115">
        <f t="shared" si="3"/>
        <v>0</v>
      </c>
      <c r="G22" s="117">
        <f>SUM(G18:G21)</f>
        <v>-2915.8371137499998</v>
      </c>
      <c r="H22" s="117">
        <f t="shared" si="3"/>
        <v>-3095.81143146875</v>
      </c>
      <c r="I22" s="117">
        <f t="shared" si="3"/>
        <v>-3279.7502273408431</v>
      </c>
      <c r="J22" s="117">
        <f t="shared" si="3"/>
        <v>-3467.8538409145422</v>
      </c>
      <c r="K22" s="117">
        <f t="shared" si="3"/>
        <v>-3660.3329432996579</v>
      </c>
    </row>
    <row r="23" spans="2:13" x14ac:dyDescent="0.15">
      <c r="G23" s="36"/>
      <c r="H23" s="36"/>
      <c r="I23" s="36"/>
      <c r="J23" s="36"/>
      <c r="K23" s="36"/>
    </row>
    <row r="24" spans="2:13" ht="12" customHeight="1" x14ac:dyDescent="0.15">
      <c r="B24" s="30" t="s">
        <v>278</v>
      </c>
      <c r="C24" s="30"/>
      <c r="D24" s="30">
        <f>SUM(D10,D15,D22)</f>
        <v>1342</v>
      </c>
      <c r="E24" s="30">
        <f t="shared" ref="E24:K24" si="4">SUM(E10,E15,E22)</f>
        <v>685</v>
      </c>
      <c r="F24" s="30">
        <f t="shared" si="4"/>
        <v>0</v>
      </c>
      <c r="G24" s="30">
        <f t="shared" si="4"/>
        <v>1695.6349252499986</v>
      </c>
      <c r="H24" s="30">
        <f t="shared" si="4"/>
        <v>1800.4059136062497</v>
      </c>
      <c r="I24" s="30">
        <f t="shared" si="4"/>
        <v>1915.3819064417289</v>
      </c>
      <c r="J24" s="30">
        <f t="shared" si="4"/>
        <v>2041.0815475582003</v>
      </c>
      <c r="K24" s="30">
        <f t="shared" si="4"/>
        <v>2178.0503848445078</v>
      </c>
    </row>
    <row r="25" spans="2:13" x14ac:dyDescent="0.15">
      <c r="B25" s="35" t="s">
        <v>163</v>
      </c>
      <c r="D25" s="35">
        <f>'CF source'!E51</f>
        <v>-97</v>
      </c>
      <c r="E25" s="35">
        <f>'CF source'!F51</f>
        <v>-41</v>
      </c>
      <c r="G25" s="36">
        <f>AVERAGE('CF source'!$D$51:$F$51)</f>
        <v>-63.333333333333336</v>
      </c>
      <c r="H25" s="36">
        <f>AVERAGE('CF source'!$D$51:$F$51)</f>
        <v>-63.333333333333336</v>
      </c>
      <c r="I25" s="36">
        <f>AVERAGE('CF source'!$D$51:$F$51)</f>
        <v>-63.333333333333336</v>
      </c>
      <c r="J25" s="36">
        <f>AVERAGE('CF source'!$D$51:$F$51)</f>
        <v>-63.333333333333336</v>
      </c>
      <c r="K25" s="36">
        <f>AVERAGE('CF source'!$D$51:$F$51)</f>
        <v>-63.333333333333336</v>
      </c>
      <c r="M25" s="35" t="s">
        <v>294</v>
      </c>
    </row>
    <row r="26" spans="2:13" x14ac:dyDescent="0.15">
      <c r="B26" s="35" t="s">
        <v>266</v>
      </c>
      <c r="D26" s="35">
        <f>'P&amp;L and BS'!C41</f>
        <v>1655</v>
      </c>
      <c r="E26" s="35">
        <f>'P&amp;L and BS'!D41</f>
        <v>2900</v>
      </c>
      <c r="F26" s="35">
        <f>'P&amp;L and BS'!E41</f>
        <v>3544</v>
      </c>
      <c r="G26" s="36">
        <f>'P&amp;L and BS'!E41</f>
        <v>3544</v>
      </c>
      <c r="H26" s="36">
        <f>G27</f>
        <v>5176.3015919166655</v>
      </c>
      <c r="I26" s="36">
        <f>H27</f>
        <v>6913.3741721895822</v>
      </c>
      <c r="J26" s="36">
        <f t="shared" ref="J26:K26" si="5">I27</f>
        <v>8765.4227452979776</v>
      </c>
      <c r="K26" s="36">
        <f t="shared" si="5"/>
        <v>10743.170959522844</v>
      </c>
    </row>
    <row r="27" spans="2:13" x14ac:dyDescent="0.15">
      <c r="B27" s="35" t="s">
        <v>267</v>
      </c>
      <c r="C27" s="40"/>
      <c r="D27" s="35">
        <f>SUM(D24:D26)</f>
        <v>2900</v>
      </c>
      <c r="E27" s="35">
        <f>SUM(E24:E26)</f>
        <v>3544</v>
      </c>
      <c r="F27" s="41"/>
      <c r="G27" s="36">
        <f>SUM(G24:G26)</f>
        <v>5176.3015919166655</v>
      </c>
      <c r="H27" s="36">
        <f>SUM(H24:H26)</f>
        <v>6913.3741721895822</v>
      </c>
      <c r="I27" s="36">
        <f t="shared" ref="I27:K27" si="6">SUM(I24:I26)</f>
        <v>8765.4227452979776</v>
      </c>
      <c r="J27" s="36">
        <f t="shared" si="6"/>
        <v>10743.170959522844</v>
      </c>
      <c r="K27" s="36">
        <f t="shared" si="6"/>
        <v>12857.888011034018</v>
      </c>
    </row>
    <row r="28" spans="2:13" x14ac:dyDescent="0.15">
      <c r="B28" s="39"/>
      <c r="C28" s="40"/>
      <c r="F28" s="41"/>
      <c r="G28" s="36"/>
      <c r="H28" s="36"/>
      <c r="I28" s="36"/>
      <c r="J28" s="36"/>
      <c r="K28" s="36"/>
    </row>
    <row r="29" spans="2:13" x14ac:dyDescent="0.15">
      <c r="B29" s="35" t="s">
        <v>42</v>
      </c>
      <c r="C29" s="40"/>
      <c r="D29" s="35">
        <f>D26-'P&amp;L and BS'!C41</f>
        <v>0</v>
      </c>
      <c r="E29" s="35">
        <f>E26-D27</f>
        <v>0</v>
      </c>
      <c r="G29" s="35">
        <f>G26-E27</f>
        <v>0</v>
      </c>
      <c r="H29" s="35">
        <f>H26-G27</f>
        <v>0</v>
      </c>
      <c r="I29" s="35">
        <f t="shared" ref="I29:K29" si="7">I26-H27</f>
        <v>0</v>
      </c>
      <c r="J29" s="35">
        <f t="shared" si="7"/>
        <v>0</v>
      </c>
      <c r="K29" s="35">
        <f t="shared" si="7"/>
        <v>0</v>
      </c>
    </row>
    <row r="30" spans="2:13" ht="13" customHeight="1" x14ac:dyDescent="0.15">
      <c r="B30" s="35" t="s">
        <v>295</v>
      </c>
      <c r="D30" s="118" t="str">
        <f>IF(ABS(D29)&lt;1, "✅", "⚠️")</f>
        <v>✅</v>
      </c>
      <c r="E30" s="118" t="str">
        <f t="shared" ref="E30:K30" si="8">IF(ABS(E29)&lt;1, "✅", "⚠️")</f>
        <v>✅</v>
      </c>
      <c r="F30" s="118"/>
      <c r="G30" s="118" t="str">
        <f t="shared" si="8"/>
        <v>✅</v>
      </c>
      <c r="H30" s="118" t="str">
        <f t="shared" si="8"/>
        <v>✅</v>
      </c>
      <c r="I30" s="118" t="str">
        <f t="shared" si="8"/>
        <v>✅</v>
      </c>
      <c r="J30" s="118" t="str">
        <f t="shared" si="8"/>
        <v>✅</v>
      </c>
      <c r="K30" s="118" t="str">
        <f t="shared" si="8"/>
        <v>✅</v>
      </c>
    </row>
    <row r="31" spans="2:13" x14ac:dyDescent="0.15">
      <c r="B31" s="230" t="s">
        <v>296</v>
      </c>
      <c r="C31" s="231"/>
      <c r="D31" s="40"/>
    </row>
    <row r="32" spans="2:13" x14ac:dyDescent="0.15">
      <c r="B32" s="232"/>
      <c r="C32" s="233"/>
    </row>
    <row r="33" spans="2:15" x14ac:dyDescent="0.15">
      <c r="B33" s="234"/>
      <c r="C33" s="235"/>
      <c r="D33" s="119"/>
      <c r="E33" s="119"/>
    </row>
    <row r="34" spans="2:15" x14ac:dyDescent="0.15">
      <c r="B34" s="40"/>
      <c r="C34" s="40"/>
      <c r="D34" s="40"/>
      <c r="E34" s="40"/>
      <c r="G34" s="40"/>
    </row>
    <row r="35" spans="2:15" x14ac:dyDescent="0.15">
      <c r="B35" s="40"/>
      <c r="C35" s="40"/>
      <c r="D35" s="40"/>
      <c r="E35" s="40"/>
      <c r="G35" s="40"/>
    </row>
    <row r="37" spans="2:15" ht="27" thickBot="1" x14ac:dyDescent="0.2">
      <c r="B37" s="12" t="s">
        <v>99</v>
      </c>
      <c r="C37" s="12"/>
      <c r="D37" s="13" t="s">
        <v>182</v>
      </c>
      <c r="E37" s="13" t="s">
        <v>183</v>
      </c>
      <c r="F37" s="14"/>
      <c r="G37" s="15" t="s">
        <v>184</v>
      </c>
      <c r="H37" s="15" t="s">
        <v>185</v>
      </c>
      <c r="I37" s="15" t="s">
        <v>186</v>
      </c>
      <c r="J37" s="15" t="s">
        <v>187</v>
      </c>
      <c r="K37" s="15" t="s">
        <v>188</v>
      </c>
      <c r="M37" s="25" t="s">
        <v>30</v>
      </c>
    </row>
    <row r="38" spans="2:15" ht="13" x14ac:dyDescent="0.15">
      <c r="B38" s="120" t="s">
        <v>297</v>
      </c>
      <c r="G38" s="36"/>
      <c r="H38" s="36"/>
      <c r="I38" s="36"/>
      <c r="J38" s="36"/>
      <c r="K38" s="36"/>
      <c r="M38" s="236" t="s">
        <v>303</v>
      </c>
      <c r="N38" s="236"/>
      <c r="O38" s="236"/>
    </row>
    <row r="39" spans="2:15" x14ac:dyDescent="0.15">
      <c r="B39" s="116" t="s">
        <v>34</v>
      </c>
      <c r="D39" s="35">
        <f>'P&amp;L and BS'!D18</f>
        <v>5443</v>
      </c>
      <c r="E39" s="35">
        <f>'P&amp;L and BS'!E18</f>
        <v>5804</v>
      </c>
      <c r="F39" s="35">
        <f>'P&amp;L and BS'!F18</f>
        <v>0</v>
      </c>
      <c r="G39" s="36">
        <f>'P&amp;L and BS'!G18</f>
        <v>6567.1484549999986</v>
      </c>
      <c r="H39" s="36">
        <f>'P&amp;L and BS'!H18</f>
        <v>6887.0457258749993</v>
      </c>
      <c r="I39" s="36">
        <f>'P&amp;L and BS'!I18</f>
        <v>7222.8009093633718</v>
      </c>
      <c r="J39" s="36">
        <f>'P&amp;L and BS'!J18</f>
        <v>7575.2153636581679</v>
      </c>
      <c r="K39" s="36">
        <f>'P&amp;L and BS'!K18</f>
        <v>7945.131773198631</v>
      </c>
      <c r="M39" s="236"/>
      <c r="N39" s="236"/>
      <c r="O39" s="236"/>
    </row>
    <row r="40" spans="2:15" x14ac:dyDescent="0.15">
      <c r="B40" s="116" t="s">
        <v>298</v>
      </c>
      <c r="D40" s="121">
        <f>'P&amp;L and BS'!D24</f>
        <v>0.1906474820143885</v>
      </c>
      <c r="E40" s="121">
        <f>'P&amp;L and BS'!E24</f>
        <v>0.19270098730606489</v>
      </c>
      <c r="F40" s="121"/>
      <c r="G40" s="213">
        <f>'P&amp;L and BS'!G24</f>
        <v>0.20000000000000004</v>
      </c>
      <c r="H40" s="213">
        <f>'P&amp;L and BS'!H24</f>
        <v>0.20000000000000004</v>
      </c>
      <c r="I40" s="213">
        <f>'P&amp;L and BS'!I24</f>
        <v>0.20000000000000004</v>
      </c>
      <c r="J40" s="213">
        <f>'P&amp;L and BS'!J24</f>
        <v>0.20000000000000004</v>
      </c>
      <c r="K40" s="213">
        <f>'P&amp;L and BS'!K24</f>
        <v>0.2</v>
      </c>
      <c r="M40" s="236"/>
      <c r="N40" s="236"/>
      <c r="O40" s="236"/>
    </row>
    <row r="41" spans="2:15" x14ac:dyDescent="0.15">
      <c r="B41" s="122" t="s">
        <v>299</v>
      </c>
      <c r="C41" s="122"/>
      <c r="D41" s="122">
        <f>D39*(1-D40)</f>
        <v>4405.3057553956833</v>
      </c>
      <c r="E41" s="122">
        <f t="shared" ref="E41:K41" si="9">E39*(1-E40)</f>
        <v>4685.5634696755997</v>
      </c>
      <c r="F41" s="122">
        <f t="shared" si="9"/>
        <v>0</v>
      </c>
      <c r="G41" s="214">
        <f t="shared" si="9"/>
        <v>5253.7187639999984</v>
      </c>
      <c r="H41" s="214">
        <f t="shared" si="9"/>
        <v>5509.6365806999993</v>
      </c>
      <c r="I41" s="214">
        <f t="shared" si="9"/>
        <v>5778.2407274906973</v>
      </c>
      <c r="J41" s="214">
        <f t="shared" si="9"/>
        <v>6060.1722909265336</v>
      </c>
      <c r="K41" s="214">
        <f t="shared" si="9"/>
        <v>6356.1054185589055</v>
      </c>
      <c r="M41" s="236"/>
      <c r="N41" s="236"/>
      <c r="O41" s="236"/>
    </row>
    <row r="42" spans="2:15" x14ac:dyDescent="0.15">
      <c r="G42" s="36"/>
      <c r="H42" s="36"/>
      <c r="I42" s="36"/>
      <c r="J42" s="36"/>
      <c r="K42" s="36"/>
      <c r="M42" s="236"/>
      <c r="N42" s="236"/>
      <c r="O42" s="236"/>
    </row>
    <row r="43" spans="2:15" x14ac:dyDescent="0.15">
      <c r="B43" s="35" t="s">
        <v>300</v>
      </c>
      <c r="D43" s="35">
        <f>D7</f>
        <v>2312</v>
      </c>
      <c r="E43" s="35">
        <f t="shared" ref="E43:K43" si="10">E7</f>
        <v>2519</v>
      </c>
      <c r="F43" s="35">
        <f t="shared" si="10"/>
        <v>0</v>
      </c>
      <c r="G43" s="36">
        <f t="shared" si="10"/>
        <v>2668.1819499999997</v>
      </c>
      <c r="H43" s="36">
        <f t="shared" si="10"/>
        <v>2802.71023375</v>
      </c>
      <c r="I43" s="36">
        <f t="shared" si="10"/>
        <v>2944.1598960287502</v>
      </c>
      <c r="J43" s="36">
        <f t="shared" si="10"/>
        <v>3092.894455215644</v>
      </c>
      <c r="K43" s="36">
        <f t="shared" si="10"/>
        <v>3249.2969113978838</v>
      </c>
      <c r="M43" s="236"/>
      <c r="N43" s="236"/>
      <c r="O43" s="236"/>
    </row>
    <row r="44" spans="2:15" x14ac:dyDescent="0.15">
      <c r="B44" s="35" t="s">
        <v>301</v>
      </c>
      <c r="D44" s="35">
        <f>D13</f>
        <v>-1939</v>
      </c>
      <c r="E44" s="35">
        <f t="shared" ref="E44:K44" si="11">E13</f>
        <v>-1931</v>
      </c>
      <c r="F44" s="35">
        <f t="shared" si="11"/>
        <v>0</v>
      </c>
      <c r="G44" s="36">
        <f t="shared" si="11"/>
        <v>-1715.2598249999996</v>
      </c>
      <c r="H44" s="36">
        <f t="shared" si="11"/>
        <v>-1801.7422931249998</v>
      </c>
      <c r="I44" s="36">
        <f t="shared" si="11"/>
        <v>-1892.6742188756248</v>
      </c>
      <c r="J44" s="36">
        <f t="shared" si="11"/>
        <v>-1988.289292638628</v>
      </c>
      <c r="K44" s="36">
        <f t="shared" si="11"/>
        <v>-2088.8337287557824</v>
      </c>
      <c r="M44" s="236"/>
      <c r="N44" s="236"/>
      <c r="O44" s="236"/>
    </row>
    <row r="45" spans="2:15" x14ac:dyDescent="0.15">
      <c r="B45" s="35" t="s">
        <v>302</v>
      </c>
      <c r="D45" s="35">
        <f>D8</f>
        <v>-249</v>
      </c>
      <c r="E45" s="35">
        <f t="shared" ref="E45:K45" si="12">E8</f>
        <v>-1294</v>
      </c>
      <c r="F45" s="35">
        <f t="shared" si="12"/>
        <v>0</v>
      </c>
      <c r="G45" s="36">
        <f t="shared" si="12"/>
        <v>-381.16884999999996</v>
      </c>
      <c r="H45" s="36">
        <f t="shared" si="12"/>
        <v>-400.38717624999998</v>
      </c>
      <c r="I45" s="36">
        <f t="shared" si="12"/>
        <v>-420.59427086124998</v>
      </c>
      <c r="J45" s="36">
        <f t="shared" si="12"/>
        <v>-441.84206503080628</v>
      </c>
      <c r="K45" s="36">
        <f t="shared" si="12"/>
        <v>-464.18527305684051</v>
      </c>
      <c r="M45" s="236"/>
      <c r="N45" s="236"/>
      <c r="O45" s="236"/>
    </row>
    <row r="46" spans="2:15" x14ac:dyDescent="0.15">
      <c r="B46" s="30" t="s">
        <v>43</v>
      </c>
      <c r="C46" s="30"/>
      <c r="D46" s="30">
        <f>SUM(D41,D43:D45)</f>
        <v>4529.3057553956833</v>
      </c>
      <c r="E46" s="30">
        <f t="shared" ref="E46:K46" si="13">SUM(E41,E43:E45)</f>
        <v>3979.5634696755997</v>
      </c>
      <c r="F46" s="30">
        <f t="shared" si="13"/>
        <v>0</v>
      </c>
      <c r="G46" s="30">
        <f t="shared" si="13"/>
        <v>5825.4720389999984</v>
      </c>
      <c r="H46" s="30">
        <f t="shared" si="13"/>
        <v>6110.2173450749997</v>
      </c>
      <c r="I46" s="30">
        <f t="shared" si="13"/>
        <v>6409.1321337825711</v>
      </c>
      <c r="J46" s="30">
        <f t="shared" si="13"/>
        <v>6722.9353884727434</v>
      </c>
      <c r="K46" s="30">
        <f t="shared" si="13"/>
        <v>7052.3833281441657</v>
      </c>
      <c r="M46" s="236"/>
      <c r="N46" s="236"/>
      <c r="O46" s="236"/>
    </row>
    <row r="47" spans="2:15" x14ac:dyDescent="0.15">
      <c r="F47" s="123"/>
    </row>
    <row r="49" spans="2:11" x14ac:dyDescent="0.15">
      <c r="B49" s="28"/>
      <c r="C49" s="28"/>
      <c r="D49" s="28"/>
      <c r="E49" s="28"/>
      <c r="G49" s="215"/>
      <c r="H49" s="215"/>
      <c r="I49" s="215"/>
      <c r="J49" s="215"/>
      <c r="K49" s="215"/>
    </row>
    <row r="50" spans="2:11" x14ac:dyDescent="0.15">
      <c r="B50" s="37"/>
      <c r="C50" s="37"/>
      <c r="D50" s="37"/>
      <c r="E50" s="37"/>
      <c r="G50" s="37"/>
      <c r="H50" s="37"/>
      <c r="I50" s="215"/>
      <c r="J50" s="37"/>
      <c r="K50" s="37"/>
    </row>
    <row r="51" spans="2:11" x14ac:dyDescent="0.15">
      <c r="B51" s="37"/>
      <c r="C51" s="37"/>
      <c r="D51" s="37"/>
      <c r="E51" s="37"/>
      <c r="G51" s="37"/>
      <c r="H51" s="37"/>
      <c r="I51" s="37"/>
      <c r="J51" s="37"/>
      <c r="K51" s="37"/>
    </row>
    <row r="52" spans="2:11" x14ac:dyDescent="0.15">
      <c r="B52" s="37"/>
      <c r="C52" s="37"/>
      <c r="D52" s="37"/>
      <c r="E52" s="37"/>
      <c r="G52" s="37"/>
      <c r="H52" s="37"/>
      <c r="I52" s="37"/>
      <c r="J52" s="37"/>
      <c r="K52" s="37"/>
    </row>
    <row r="53" spans="2:11" x14ac:dyDescent="0.15">
      <c r="B53" s="37"/>
      <c r="C53" s="37"/>
      <c r="D53" s="37"/>
      <c r="E53" s="37"/>
      <c r="F53" s="124"/>
      <c r="G53" s="37"/>
      <c r="H53" s="37"/>
      <c r="I53" s="37"/>
      <c r="J53" s="37"/>
      <c r="K53" s="37"/>
    </row>
    <row r="55" spans="2:11" x14ac:dyDescent="0.15">
      <c r="B55" s="37"/>
      <c r="C55" s="125"/>
      <c r="D55" s="37"/>
      <c r="E55" s="37"/>
      <c r="F55" s="126"/>
      <c r="G55" s="37"/>
      <c r="H55" s="37"/>
      <c r="I55" s="37"/>
      <c r="J55" s="37"/>
      <c r="K55" s="37"/>
    </row>
    <row r="57" spans="2:11" x14ac:dyDescent="0.15">
      <c r="B57" s="124"/>
      <c r="C57" s="124"/>
      <c r="D57" s="124"/>
      <c r="E57" s="124"/>
      <c r="F57" s="124"/>
      <c r="G57" s="124"/>
      <c r="H57" s="124"/>
      <c r="I57" s="124"/>
      <c r="J57" s="124"/>
      <c r="K57" s="124"/>
    </row>
  </sheetData>
  <mergeCells count="2">
    <mergeCell ref="B31:C33"/>
    <mergeCell ref="M38:O46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9AFC2-C2C7-694A-B3BB-5D865E42F5FC}">
  <sheetPr>
    <tabColor rgb="FF002060"/>
  </sheetPr>
  <dimension ref="B1:B11"/>
  <sheetViews>
    <sheetView zoomScale="130" zoomScaleNormal="130" workbookViewId="0">
      <selection activeCell="B12" sqref="B12"/>
    </sheetView>
  </sheetViews>
  <sheetFormatPr baseColWidth="10" defaultColWidth="9.1640625" defaultRowHeight="12" x14ac:dyDescent="0.15"/>
  <cols>
    <col min="1" max="1" width="2" style="2" customWidth="1"/>
    <col min="2" max="16384" width="9.1640625" style="2"/>
  </cols>
  <sheetData>
    <row r="1" spans="2:2" ht="16" x14ac:dyDescent="0.2">
      <c r="B1" s="1"/>
    </row>
    <row r="11" spans="2:2" ht="40" x14ac:dyDescent="0.4">
      <c r="B11" s="9" t="s">
        <v>316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63A0-76B2-E846-B1B0-B08C1320FAF1}">
  <dimension ref="B1:M25"/>
  <sheetViews>
    <sheetView zoomScale="130" zoomScaleNormal="130" workbookViewId="0">
      <selection activeCell="G23" sqref="G23"/>
    </sheetView>
  </sheetViews>
  <sheetFormatPr baseColWidth="10" defaultColWidth="9.1640625" defaultRowHeight="12" x14ac:dyDescent="0.15"/>
  <cols>
    <col min="1" max="1" width="2" style="11" customWidth="1"/>
    <col min="2" max="2" width="22.6640625" style="11" customWidth="1"/>
    <col min="3" max="3" width="10" style="11" bestFit="1" customWidth="1"/>
    <col min="4" max="4" width="9.1640625" style="11"/>
    <col min="5" max="5" width="11.5" style="11" bestFit="1" customWidth="1"/>
    <col min="6" max="6" width="2" style="11" customWidth="1"/>
    <col min="7" max="7" width="10" style="11" bestFit="1" customWidth="1"/>
    <col min="8" max="11" width="9.1640625" style="11"/>
    <col min="12" max="12" width="2" style="11" customWidth="1"/>
    <col min="13" max="16384" width="9.1640625" style="11"/>
  </cols>
  <sheetData>
    <row r="1" spans="2:13" ht="16" x14ac:dyDescent="0.2">
      <c r="B1" s="10" t="s">
        <v>44</v>
      </c>
      <c r="C1" s="11" t="s">
        <v>374</v>
      </c>
    </row>
    <row r="2" spans="2:13" x14ac:dyDescent="0.15">
      <c r="C2" s="11" t="s">
        <v>375</v>
      </c>
    </row>
    <row r="4" spans="2:13" ht="15" x14ac:dyDescent="0.2">
      <c r="B4" s="160" t="s">
        <v>44</v>
      </c>
      <c r="C4" s="161"/>
      <c r="D4" s="162"/>
    </row>
    <row r="5" spans="2:13" ht="15" x14ac:dyDescent="0.2">
      <c r="B5" s="162" t="s">
        <v>439</v>
      </c>
      <c r="C5" s="200">
        <f>'Comps Model'!F7</f>
        <v>48957.440000000002</v>
      </c>
      <c r="D5" s="162" t="s">
        <v>438</v>
      </c>
    </row>
    <row r="6" spans="2:13" ht="15" x14ac:dyDescent="0.2">
      <c r="B6" s="162" t="s">
        <v>376</v>
      </c>
      <c r="C6" s="201">
        <f>C5/C17</f>
        <v>0.85161976250812355</v>
      </c>
      <c r="D6" s="162" t="s">
        <v>440</v>
      </c>
    </row>
    <row r="7" spans="2:13" ht="15" x14ac:dyDescent="0.2">
      <c r="B7" s="162" t="s">
        <v>377</v>
      </c>
      <c r="C7" s="202">
        <f>C8+C9*C10</f>
        <v>0.10042000000000001</v>
      </c>
      <c r="D7" s="162" t="s">
        <v>441</v>
      </c>
      <c r="E7" s="14"/>
      <c r="F7" s="14"/>
      <c r="G7" s="14"/>
      <c r="H7" s="14"/>
      <c r="I7" s="14"/>
      <c r="J7" s="14"/>
      <c r="K7" s="14"/>
      <c r="M7" s="150"/>
    </row>
    <row r="8" spans="2:13" ht="15" x14ac:dyDescent="0.2">
      <c r="B8" s="162" t="s">
        <v>378</v>
      </c>
      <c r="C8" s="202">
        <v>4.3770000000000003E-2</v>
      </c>
      <c r="D8" s="162" t="s">
        <v>442</v>
      </c>
      <c r="E8" s="16"/>
      <c r="F8" s="16"/>
      <c r="G8" s="16"/>
      <c r="H8" s="16"/>
      <c r="I8" s="16"/>
      <c r="J8" s="16"/>
      <c r="K8" s="16"/>
    </row>
    <row r="9" spans="2:13" ht="15" customHeight="1" x14ac:dyDescent="0.2">
      <c r="B9" s="162" t="s">
        <v>379</v>
      </c>
      <c r="C9" s="205">
        <v>1.03</v>
      </c>
      <c r="D9" s="162" t="s">
        <v>446</v>
      </c>
      <c r="G9" s="16"/>
      <c r="H9" s="16"/>
      <c r="I9" s="16"/>
      <c r="J9" s="16"/>
      <c r="K9" s="16"/>
    </row>
    <row r="10" spans="2:13" ht="15" x14ac:dyDescent="0.2">
      <c r="B10" s="162" t="s">
        <v>380</v>
      </c>
      <c r="C10" s="202">
        <v>5.5E-2</v>
      </c>
      <c r="D10" s="162" t="s">
        <v>447</v>
      </c>
      <c r="G10" s="158"/>
      <c r="H10" s="158"/>
      <c r="I10" s="158"/>
      <c r="J10" s="158"/>
      <c r="K10" s="158"/>
    </row>
    <row r="11" spans="2:13" ht="15" x14ac:dyDescent="0.2">
      <c r="B11" s="162"/>
      <c r="C11" s="162"/>
      <c r="D11" s="162"/>
      <c r="E11" s="28"/>
      <c r="F11" s="103"/>
      <c r="G11" s="103"/>
      <c r="H11" s="103"/>
      <c r="I11" s="103"/>
      <c r="J11" s="103"/>
      <c r="K11" s="103"/>
    </row>
    <row r="12" spans="2:13" ht="15" x14ac:dyDescent="0.2">
      <c r="B12" s="162" t="s">
        <v>444</v>
      </c>
      <c r="C12" s="203">
        <f>'Comps Model'!G7</f>
        <v>8530</v>
      </c>
      <c r="D12" s="162" t="s">
        <v>443</v>
      </c>
      <c r="G12" s="155"/>
      <c r="H12" s="16"/>
      <c r="I12" s="16"/>
      <c r="J12" s="16"/>
      <c r="K12" s="16"/>
    </row>
    <row r="13" spans="2:13" ht="15" x14ac:dyDescent="0.2">
      <c r="B13" s="162" t="s">
        <v>381</v>
      </c>
      <c r="C13" s="201">
        <f>C12/C17</f>
        <v>0.14838023749187648</v>
      </c>
      <c r="D13" s="162"/>
      <c r="G13" s="155"/>
      <c r="H13" s="16"/>
      <c r="I13" s="16"/>
      <c r="J13" s="16"/>
      <c r="K13" s="16"/>
    </row>
    <row r="14" spans="2:13" ht="15" x14ac:dyDescent="0.2">
      <c r="B14" s="162" t="s">
        <v>382</v>
      </c>
      <c r="C14" s="202">
        <v>5.5E-2</v>
      </c>
      <c r="D14" s="162" t="s">
        <v>448</v>
      </c>
      <c r="E14" s="159"/>
      <c r="F14" s="159"/>
      <c r="G14" s="159"/>
      <c r="H14" s="159"/>
      <c r="I14" s="159"/>
      <c r="J14" s="159"/>
      <c r="K14" s="159"/>
    </row>
    <row r="15" spans="2:13" ht="15" x14ac:dyDescent="0.2">
      <c r="B15" s="162" t="s">
        <v>298</v>
      </c>
      <c r="C15" s="204">
        <f>'P&amp;L and BS'!E24</f>
        <v>0.19270098730606489</v>
      </c>
      <c r="D15" s="162" t="s">
        <v>445</v>
      </c>
      <c r="E15" s="148"/>
      <c r="G15" s="155"/>
      <c r="H15" s="16"/>
      <c r="I15" s="16"/>
      <c r="J15" s="16"/>
      <c r="K15" s="16"/>
    </row>
    <row r="16" spans="2:13" ht="15" x14ac:dyDescent="0.2">
      <c r="B16" s="162"/>
      <c r="C16" s="162"/>
      <c r="D16" s="162"/>
      <c r="E16" s="148"/>
    </row>
    <row r="17" spans="2:11" ht="15" x14ac:dyDescent="0.2">
      <c r="B17" s="162" t="s">
        <v>383</v>
      </c>
      <c r="C17" s="200">
        <f>C5+C12</f>
        <v>57487.44</v>
      </c>
      <c r="D17" s="162"/>
      <c r="E17" s="148"/>
    </row>
    <row r="18" spans="2:11" ht="15" x14ac:dyDescent="0.2">
      <c r="B18" s="162"/>
      <c r="C18" s="162"/>
      <c r="D18" s="162"/>
    </row>
    <row r="19" spans="2:11" ht="15" x14ac:dyDescent="0.2">
      <c r="B19" s="207" t="s">
        <v>44</v>
      </c>
      <c r="C19" s="206">
        <f>C6*C7+(C13*C14*(1-C15))</f>
        <v>9.2107953608742368E-2</v>
      </c>
      <c r="D19" s="162"/>
    </row>
    <row r="21" spans="2:11" x14ac:dyDescent="0.15">
      <c r="B21" s="156"/>
      <c r="C21" s="156"/>
      <c r="D21" s="156"/>
      <c r="G21" s="47"/>
      <c r="H21" s="157"/>
      <c r="I21" s="157"/>
      <c r="J21" s="157"/>
      <c r="K21" s="157"/>
    </row>
    <row r="22" spans="2:11" x14ac:dyDescent="0.15">
      <c r="G22" s="157"/>
      <c r="H22" s="16"/>
      <c r="I22" s="16"/>
      <c r="J22" s="16"/>
      <c r="K22" s="16"/>
    </row>
    <row r="23" spans="2:11" x14ac:dyDescent="0.15">
      <c r="G23" s="157"/>
      <c r="H23" s="16"/>
      <c r="I23" s="76"/>
      <c r="J23" s="16"/>
      <c r="K23" s="16"/>
    </row>
    <row r="24" spans="2:11" x14ac:dyDescent="0.15">
      <c r="G24" s="157"/>
      <c r="H24" s="16"/>
      <c r="I24" s="16"/>
      <c r="J24" s="16"/>
      <c r="K24" s="16"/>
    </row>
    <row r="25" spans="2:11" x14ac:dyDescent="0.15">
      <c r="G25" s="157"/>
      <c r="H25" s="16"/>
      <c r="I25" s="16"/>
      <c r="J25" s="16"/>
      <c r="K25" s="16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8EC9-E657-3B42-9CC9-0F353C7E5567}">
  <dimension ref="B1:M25"/>
  <sheetViews>
    <sheetView zoomScale="130" zoomScaleNormal="130" workbookViewId="0">
      <selection activeCell="C16" sqref="C16"/>
    </sheetView>
  </sheetViews>
  <sheetFormatPr baseColWidth="10" defaultColWidth="9.1640625" defaultRowHeight="12" x14ac:dyDescent="0.15"/>
  <cols>
    <col min="1" max="1" width="2" style="11" customWidth="1"/>
    <col min="2" max="2" width="22.6640625" style="11" customWidth="1"/>
    <col min="3" max="3" width="10" style="11" bestFit="1" customWidth="1"/>
    <col min="4" max="4" width="9.1640625" style="11"/>
    <col min="5" max="5" width="11.5" style="11" bestFit="1" customWidth="1"/>
    <col min="6" max="6" width="2" style="11" customWidth="1"/>
    <col min="7" max="7" width="10" style="11" bestFit="1" customWidth="1"/>
    <col min="8" max="11" width="9.1640625" style="11"/>
    <col min="12" max="12" width="2" style="11" customWidth="1"/>
    <col min="13" max="16384" width="9.1640625" style="11"/>
  </cols>
  <sheetData>
    <row r="1" spans="2:13" ht="16" x14ac:dyDescent="0.2">
      <c r="B1" s="10" t="s">
        <v>0</v>
      </c>
    </row>
    <row r="4" spans="2:13" x14ac:dyDescent="0.15">
      <c r="B4" s="11" t="s">
        <v>44</v>
      </c>
      <c r="C4" s="42">
        <f>WACC!C19</f>
        <v>9.2107953608742368E-2</v>
      </c>
      <c r="D4" s="11" t="s">
        <v>449</v>
      </c>
    </row>
    <row r="5" spans="2:13" x14ac:dyDescent="0.15">
      <c r="B5" s="11" t="s">
        <v>457</v>
      </c>
      <c r="C5" s="42">
        <f>Assumptions!C154</f>
        <v>1.4999999999999999E-2</v>
      </c>
      <c r="D5" s="11" t="s">
        <v>454</v>
      </c>
    </row>
    <row r="6" spans="2:13" x14ac:dyDescent="0.15">
      <c r="G6" s="11">
        <v>1</v>
      </c>
      <c r="H6" s="11">
        <v>2</v>
      </c>
      <c r="I6" s="11">
        <v>3</v>
      </c>
      <c r="J6" s="11">
        <v>4</v>
      </c>
      <c r="K6" s="11">
        <v>5</v>
      </c>
    </row>
    <row r="7" spans="2:13" ht="27" thickBot="1" x14ac:dyDescent="0.2">
      <c r="B7" s="12" t="s">
        <v>99</v>
      </c>
      <c r="C7" s="13"/>
      <c r="D7" s="13" t="s">
        <v>182</v>
      </c>
      <c r="E7" s="13" t="s">
        <v>183</v>
      </c>
      <c r="F7" s="14"/>
      <c r="G7" s="15" t="s">
        <v>184</v>
      </c>
      <c r="H7" s="15" t="s">
        <v>185</v>
      </c>
      <c r="I7" s="15" t="s">
        <v>186</v>
      </c>
      <c r="J7" s="15" t="s">
        <v>187</v>
      </c>
      <c r="K7" s="15" t="s">
        <v>188</v>
      </c>
      <c r="M7" s="25" t="s">
        <v>30</v>
      </c>
    </row>
    <row r="8" spans="2:13" x14ac:dyDescent="0.15">
      <c r="B8" s="11" t="s">
        <v>43</v>
      </c>
      <c r="D8" s="16">
        <f>'Cash Flow'!D46</f>
        <v>4529.3057553956833</v>
      </c>
      <c r="E8" s="16">
        <f>'Cash Flow'!E46</f>
        <v>3979.5634696755997</v>
      </c>
      <c r="F8" s="16">
        <f>'Cash Flow'!F46</f>
        <v>0</v>
      </c>
      <c r="G8" s="17">
        <f>'Cash Flow'!G46</f>
        <v>5825.4720389999984</v>
      </c>
      <c r="H8" s="17">
        <f>'Cash Flow'!H46</f>
        <v>6110.2173450749997</v>
      </c>
      <c r="I8" s="17">
        <f>'Cash Flow'!I46</f>
        <v>6409.1321337825711</v>
      </c>
      <c r="J8" s="17">
        <f>'Cash Flow'!J46</f>
        <v>6722.9353884727434</v>
      </c>
      <c r="K8" s="17">
        <f>'Cash Flow'!K46</f>
        <v>7052.3833281441657</v>
      </c>
    </row>
    <row r="9" spans="2:13" ht="15" customHeight="1" x14ac:dyDescent="0.15">
      <c r="G9" s="17"/>
      <c r="H9" s="17"/>
      <c r="I9" s="17"/>
      <c r="J9" s="17"/>
      <c r="K9" s="17"/>
    </row>
    <row r="10" spans="2:13" x14ac:dyDescent="0.15">
      <c r="B10" s="11" t="s">
        <v>45</v>
      </c>
      <c r="G10" s="43">
        <f>1/(1+$C$4)^G6</f>
        <v>0.91566039483149775</v>
      </c>
      <c r="H10" s="43">
        <f t="shared" ref="H10:K10" si="0">1/(1+$C$4)^H6</f>
        <v>0.83843395866297421</v>
      </c>
      <c r="I10" s="43">
        <f t="shared" si="0"/>
        <v>0.76772076962947466</v>
      </c>
      <c r="J10" s="43">
        <f t="shared" si="0"/>
        <v>0.70297150303926592</v>
      </c>
      <c r="K10" s="43">
        <f t="shared" si="0"/>
        <v>0.64368316402822567</v>
      </c>
    </row>
    <row r="11" spans="2:13" x14ac:dyDescent="0.15">
      <c r="B11" s="26" t="s">
        <v>46</v>
      </c>
      <c r="C11" s="26"/>
      <c r="D11" s="26"/>
      <c r="E11" s="26"/>
      <c r="F11" s="27"/>
      <c r="G11" s="44">
        <f>G8*G10</f>
        <v>5334.1540273105884</v>
      </c>
      <c r="H11" s="44">
        <f t="shared" ref="H11:K11" si="1">H8*H10</f>
        <v>5123.0137169223999</v>
      </c>
      <c r="I11" s="44">
        <f t="shared" si="1"/>
        <v>4920.4238544045529</v>
      </c>
      <c r="J11" s="44">
        <f t="shared" si="1"/>
        <v>4726.0319948705555</v>
      </c>
      <c r="K11" s="44">
        <f t="shared" si="1"/>
        <v>4539.5004145997455</v>
      </c>
    </row>
    <row r="12" spans="2:13" x14ac:dyDescent="0.15">
      <c r="G12" s="45"/>
      <c r="H12" s="16"/>
      <c r="I12" s="16"/>
      <c r="J12" s="16"/>
      <c r="K12" s="16"/>
    </row>
    <row r="13" spans="2:13" x14ac:dyDescent="0.15">
      <c r="G13" s="45"/>
      <c r="H13" s="16"/>
      <c r="I13" s="16"/>
      <c r="J13" s="16"/>
      <c r="K13" s="16"/>
    </row>
    <row r="14" spans="2:13" x14ac:dyDescent="0.15">
      <c r="B14" s="237" t="s">
        <v>0</v>
      </c>
      <c r="C14" s="237"/>
      <c r="D14" s="237"/>
      <c r="E14" s="237"/>
      <c r="F14" s="237"/>
      <c r="G14" s="237"/>
      <c r="H14" s="237"/>
      <c r="I14" s="237"/>
      <c r="J14" s="237"/>
      <c r="K14" s="237"/>
    </row>
    <row r="15" spans="2:13" x14ac:dyDescent="0.15">
      <c r="B15" s="11" t="s">
        <v>47</v>
      </c>
      <c r="C15" s="11">
        <f>SUM(G11:K11)</f>
        <v>24643.124008107843</v>
      </c>
      <c r="D15" s="11" t="s">
        <v>48</v>
      </c>
      <c r="E15" s="21">
        <f>C15/C$18</f>
        <v>0.29198631144450687</v>
      </c>
      <c r="G15" s="45"/>
      <c r="H15" s="16"/>
      <c r="I15" s="16"/>
      <c r="J15" s="16"/>
      <c r="K15" s="16"/>
    </row>
    <row r="16" spans="2:13" x14ac:dyDescent="0.15">
      <c r="B16" s="11" t="s">
        <v>49</v>
      </c>
      <c r="C16" s="11">
        <f>K8*(1+C5)/(C4-C5)</f>
        <v>92833.083269048744</v>
      </c>
      <c r="D16" s="11" t="s">
        <v>48</v>
      </c>
      <c r="E16" s="21"/>
    </row>
    <row r="17" spans="2:11" x14ac:dyDescent="0.15">
      <c r="B17" s="11" t="s">
        <v>50</v>
      </c>
      <c r="C17" s="11">
        <f>C16*K10</f>
        <v>59755.092765117035</v>
      </c>
      <c r="D17" s="11" t="s">
        <v>48</v>
      </c>
      <c r="E17" s="21">
        <f>C17/C$18</f>
        <v>0.70801368855549318</v>
      </c>
    </row>
    <row r="18" spans="2:11" x14ac:dyDescent="0.15">
      <c r="B18" s="46" t="s">
        <v>51</v>
      </c>
      <c r="C18" s="46">
        <f>C17+C15</f>
        <v>84398.216773224878</v>
      </c>
      <c r="D18" s="46" t="s">
        <v>48</v>
      </c>
    </row>
    <row r="19" spans="2:11" x14ac:dyDescent="0.15">
      <c r="B19" s="11" t="s">
        <v>304</v>
      </c>
      <c r="C19" s="11">
        <f>-SUM('P&amp;L and BS'!E47,'P&amp;L and BS'!E49)</f>
        <v>-12074</v>
      </c>
    </row>
    <row r="20" spans="2:11" x14ac:dyDescent="0.15">
      <c r="B20" s="11" t="s">
        <v>52</v>
      </c>
      <c r="C20" s="11">
        <f>'P&amp;L and BS'!E41</f>
        <v>3544</v>
      </c>
    </row>
    <row r="21" spans="2:11" x14ac:dyDescent="0.15">
      <c r="B21" s="46" t="s">
        <v>53</v>
      </c>
      <c r="C21" s="46">
        <f>SUM(C18:C20)</f>
        <v>75868.216773224878</v>
      </c>
      <c r="D21" s="46" t="s">
        <v>48</v>
      </c>
      <c r="G21" s="47">
        <f>C18</f>
        <v>84398.216773224878</v>
      </c>
      <c r="H21" s="208">
        <v>0.08</v>
      </c>
      <c r="I21" s="208">
        <v>9.2107999999999995E-2</v>
      </c>
      <c r="J21" s="208">
        <v>0.1</v>
      </c>
      <c r="K21" s="208">
        <v>0.11</v>
      </c>
    </row>
    <row r="22" spans="2:11" x14ac:dyDescent="0.15">
      <c r="C22" s="11">
        <f>C21/'Comps Model'!E7</f>
        <v>55.540422235157301</v>
      </c>
      <c r="D22" s="11" t="s">
        <v>455</v>
      </c>
      <c r="G22" s="210">
        <v>0.01</v>
      </c>
      <c r="H22" s="16">
        <f t="dataTable" ref="H22:K25" dt2D="1" dtr="1" r1="C4" r2="C5"/>
        <v>94714.848620784469</v>
      </c>
      <c r="I22" s="211">
        <v>80482.922736851324</v>
      </c>
      <c r="J22" s="16">
        <v>73273.589074681149</v>
      </c>
      <c r="K22" s="16">
        <v>65778.50383069487</v>
      </c>
    </row>
    <row r="23" spans="2:11" x14ac:dyDescent="0.15">
      <c r="G23" s="210">
        <v>1.4999999999999999E-2</v>
      </c>
      <c r="H23" s="16">
        <v>100411.23574116905</v>
      </c>
      <c r="I23" s="211">
        <v>84398.165074561315</v>
      </c>
      <c r="J23" s="16">
        <v>76421.871888743073</v>
      </c>
      <c r="K23" s="16">
        <v>68223.568746375066</v>
      </c>
    </row>
    <row r="24" spans="2:11" x14ac:dyDescent="0.15">
      <c r="G24" s="210">
        <v>0.02</v>
      </c>
      <c r="H24" s="16">
        <v>107057.02071495107</v>
      </c>
      <c r="I24" s="211">
        <v>88856.376616480266</v>
      </c>
      <c r="J24" s="16">
        <v>79963.690054562772</v>
      </c>
      <c r="K24" s="16">
        <v>70940.307541575283</v>
      </c>
    </row>
    <row r="25" spans="2:11" x14ac:dyDescent="0.15">
      <c r="G25" s="210">
        <v>2.5000000000000001E-2</v>
      </c>
      <c r="H25" s="16">
        <v>114911.13022942071</v>
      </c>
      <c r="I25" s="16">
        <v>93978.921999657905</v>
      </c>
      <c r="J25" s="16">
        <v>83977.750642491708</v>
      </c>
      <c r="K25" s="16">
        <v>73976.662665622571</v>
      </c>
    </row>
  </sheetData>
  <mergeCells count="1">
    <mergeCell ref="B14:K14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B273E-DAF6-124D-9E19-817234129F28}">
  <dimension ref="B1:N7"/>
  <sheetViews>
    <sheetView zoomScale="119" zoomScaleNormal="185" workbookViewId="0">
      <selection activeCell="L24" sqref="L24"/>
    </sheetView>
  </sheetViews>
  <sheetFormatPr baseColWidth="10" defaultColWidth="9.1640625" defaultRowHeight="12" x14ac:dyDescent="0.15"/>
  <cols>
    <col min="1" max="1" width="2" style="2" customWidth="1"/>
    <col min="2" max="2" width="19.1640625" style="2" bestFit="1" customWidth="1"/>
    <col min="3" max="6" width="9.1640625" style="2"/>
    <col min="7" max="7" width="19.1640625" style="2" bestFit="1" customWidth="1"/>
    <col min="8" max="12" width="9.1640625" style="2"/>
    <col min="13" max="13" width="19.1640625" style="2" bestFit="1" customWidth="1"/>
    <col min="14" max="16384" width="9.1640625" style="2"/>
  </cols>
  <sheetData>
    <row r="1" spans="2:14" ht="16" x14ac:dyDescent="0.2">
      <c r="B1" s="1" t="s">
        <v>12</v>
      </c>
    </row>
    <row r="4" spans="2:14" ht="13" thickBot="1" x14ac:dyDescent="0.2">
      <c r="B4" s="54" t="s">
        <v>61</v>
      </c>
      <c r="C4" s="54" t="s">
        <v>167</v>
      </c>
      <c r="G4" s="54" t="s">
        <v>62</v>
      </c>
      <c r="H4" s="54" t="s">
        <v>168</v>
      </c>
      <c r="M4" s="54" t="s">
        <v>63</v>
      </c>
      <c r="N4" s="54" t="s">
        <v>169</v>
      </c>
    </row>
    <row r="5" spans="2:14" x14ac:dyDescent="0.15">
      <c r="B5" s="2" t="s">
        <v>64</v>
      </c>
      <c r="C5" s="73">
        <v>98836.403225823393</v>
      </c>
      <c r="G5" s="2" t="s">
        <v>64</v>
      </c>
      <c r="H5" s="11">
        <v>84398.216773224878</v>
      </c>
      <c r="M5" s="2" t="s">
        <v>64</v>
      </c>
      <c r="N5" s="128">
        <v>74890.877671450216</v>
      </c>
    </row>
    <row r="6" spans="2:14" x14ac:dyDescent="0.15">
      <c r="B6" s="2" t="s">
        <v>65</v>
      </c>
      <c r="C6" s="21">
        <v>0.2900837277604349</v>
      </c>
      <c r="G6" s="2" t="s">
        <v>65</v>
      </c>
      <c r="H6" s="127">
        <v>0.30178392725490383</v>
      </c>
      <c r="M6" s="2" t="s">
        <v>65</v>
      </c>
      <c r="N6" s="21">
        <v>0.31321405866615482</v>
      </c>
    </row>
    <row r="7" spans="2:14" x14ac:dyDescent="0.15">
      <c r="B7" s="2" t="s">
        <v>66</v>
      </c>
      <c r="C7" s="21">
        <v>0.70991627223956499</v>
      </c>
      <c r="G7" s="2" t="s">
        <v>66</v>
      </c>
      <c r="H7" s="127">
        <v>0.69821607274509623</v>
      </c>
      <c r="M7" s="2" t="s">
        <v>66</v>
      </c>
      <c r="N7" s="21">
        <v>0.68678594133384518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8869-6337-D542-8CD7-A9242A2F2C47}">
  <sheetPr>
    <tabColor rgb="FF002060"/>
  </sheetPr>
  <dimension ref="B1:B11"/>
  <sheetViews>
    <sheetView zoomScale="130" zoomScaleNormal="130" workbookViewId="0">
      <selection activeCell="B12" sqref="B12"/>
    </sheetView>
  </sheetViews>
  <sheetFormatPr baseColWidth="10" defaultColWidth="9.1640625" defaultRowHeight="12" x14ac:dyDescent="0.15"/>
  <cols>
    <col min="1" max="1" width="2" style="2" customWidth="1"/>
    <col min="2" max="16384" width="9.1640625" style="2"/>
  </cols>
  <sheetData>
    <row r="1" spans="2:2" ht="16" x14ac:dyDescent="0.2">
      <c r="B1" s="1"/>
    </row>
    <row r="11" spans="2:2" ht="40" x14ac:dyDescent="0.4">
      <c r="B11" s="9" t="s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B510-67AE-3543-B1F9-FC6722B9AC1D}">
  <dimension ref="B1:Y40"/>
  <sheetViews>
    <sheetView tabSelected="1" zoomScale="81" zoomScaleNormal="61" workbookViewId="0">
      <selection activeCell="O18" sqref="O18"/>
    </sheetView>
  </sheetViews>
  <sheetFormatPr baseColWidth="10" defaultColWidth="9.1640625" defaultRowHeight="12" x14ac:dyDescent="0.15"/>
  <cols>
    <col min="1" max="1" width="2" style="2" customWidth="1"/>
    <col min="2" max="2" width="48.1640625" style="2" bestFit="1" customWidth="1"/>
    <col min="3" max="3" width="9.1640625" style="2"/>
    <col min="4" max="4" width="9.5" style="2" bestFit="1" customWidth="1"/>
    <col min="5" max="5" width="12.5" style="2" customWidth="1"/>
    <col min="6" max="6" width="11.1640625" style="2" bestFit="1" customWidth="1"/>
    <col min="7" max="7" width="10.6640625" style="2" bestFit="1" customWidth="1"/>
    <col min="8" max="8" width="16.1640625" style="2" customWidth="1"/>
    <col min="9" max="9" width="9.33203125" style="2" bestFit="1" customWidth="1"/>
    <col min="10" max="10" width="9.5" style="2" bestFit="1" customWidth="1"/>
    <col min="11" max="12" width="11.33203125" style="2" bestFit="1" customWidth="1"/>
    <col min="13" max="13" width="11.1640625" style="2" bestFit="1" customWidth="1"/>
    <col min="14" max="14" width="11.33203125" style="2" bestFit="1" customWidth="1"/>
    <col min="15" max="16" width="11.5" style="2" bestFit="1" customWidth="1"/>
    <col min="17" max="17" width="10" style="2" bestFit="1" customWidth="1"/>
    <col min="18" max="18" width="14.6640625" style="2" customWidth="1"/>
    <col min="19" max="19" width="9.33203125" style="2" bestFit="1" customWidth="1"/>
    <col min="20" max="20" width="10" style="2" bestFit="1" customWidth="1"/>
    <col min="21" max="21" width="21.5" style="2" bestFit="1" customWidth="1"/>
    <col min="22" max="22" width="11.83203125" style="2" bestFit="1" customWidth="1"/>
    <col min="23" max="23" width="10.83203125" style="2" bestFit="1" customWidth="1"/>
    <col min="24" max="24" width="8.33203125" style="2" bestFit="1" customWidth="1"/>
    <col min="25" max="25" width="9.33203125" style="2" bestFit="1" customWidth="1"/>
    <col min="26" max="16384" width="9.1640625" style="2"/>
  </cols>
  <sheetData>
    <row r="1" spans="2:25" ht="26" customHeight="1" x14ac:dyDescent="0.2">
      <c r="B1" s="1"/>
      <c r="M1" s="239" t="s">
        <v>385</v>
      </c>
      <c r="N1" s="239"/>
      <c r="O1" s="239"/>
      <c r="P1" s="239"/>
      <c r="Q1" s="239"/>
      <c r="R1" s="239"/>
    </row>
    <row r="2" spans="2:25" ht="26" x14ac:dyDescent="0.3">
      <c r="B2" s="144" t="s">
        <v>319</v>
      </c>
      <c r="C2" s="163"/>
      <c r="D2" s="163"/>
      <c r="E2" s="241" t="s">
        <v>384</v>
      </c>
      <c r="F2" s="241"/>
      <c r="G2" s="241"/>
      <c r="H2" s="145"/>
      <c r="I2" s="145"/>
      <c r="J2" s="145"/>
      <c r="K2" s="145"/>
      <c r="M2" s="240" t="s">
        <v>386</v>
      </c>
      <c r="N2" s="240"/>
      <c r="O2" s="240" t="s">
        <v>387</v>
      </c>
      <c r="P2" s="240"/>
      <c r="Q2" s="240" t="s">
        <v>388</v>
      </c>
      <c r="R2" s="240"/>
    </row>
    <row r="3" spans="2:25" x14ac:dyDescent="0.15">
      <c r="B3" s="245" t="s">
        <v>399</v>
      </c>
      <c r="C3" s="245"/>
      <c r="D3" s="245"/>
      <c r="E3" s="245"/>
      <c r="F3" s="246" t="s">
        <v>400</v>
      </c>
      <c r="G3" s="246"/>
      <c r="H3" s="168" t="s">
        <v>401</v>
      </c>
      <c r="I3" s="48"/>
      <c r="J3" s="48"/>
      <c r="K3" s="48"/>
    </row>
    <row r="4" spans="2:25" ht="16" customHeight="1" x14ac:dyDescent="0.2">
      <c r="B4" s="164"/>
      <c r="C4" s="164"/>
      <c r="D4" s="244" t="s">
        <v>389</v>
      </c>
      <c r="E4" s="244"/>
      <c r="F4" s="244"/>
      <c r="G4" s="244"/>
      <c r="H4" s="244"/>
      <c r="I4" s="164"/>
      <c r="J4" s="244" t="s">
        <v>390</v>
      </c>
      <c r="K4" s="244"/>
      <c r="L4" s="244"/>
      <c r="M4" s="164"/>
      <c r="N4" s="244" t="s">
        <v>324</v>
      </c>
      <c r="O4" s="244"/>
      <c r="P4" s="244"/>
      <c r="Q4" s="167"/>
      <c r="R4" s="167"/>
      <c r="S4" s="167"/>
      <c r="T4" s="167"/>
      <c r="U4" s="167"/>
      <c r="V4" s="167"/>
      <c r="W4" s="167"/>
      <c r="X4" s="167"/>
      <c r="Y4" s="167"/>
    </row>
    <row r="5" spans="2:25" ht="68" x14ac:dyDescent="0.2">
      <c r="B5" s="165" t="s">
        <v>391</v>
      </c>
      <c r="C5" s="165" t="s">
        <v>321</v>
      </c>
      <c r="D5" s="166" t="s">
        <v>392</v>
      </c>
      <c r="E5" s="166" t="s">
        <v>393</v>
      </c>
      <c r="F5" s="166" t="s">
        <v>394</v>
      </c>
      <c r="G5" s="166" t="s">
        <v>395</v>
      </c>
      <c r="H5" s="166" t="s">
        <v>435</v>
      </c>
      <c r="I5" s="165"/>
      <c r="J5" s="165" t="s">
        <v>320</v>
      </c>
      <c r="K5" s="165" t="s">
        <v>33</v>
      </c>
      <c r="L5" s="165" t="s">
        <v>68</v>
      </c>
      <c r="M5" s="165"/>
      <c r="N5" s="165" t="s">
        <v>396</v>
      </c>
      <c r="O5" s="165" t="s">
        <v>397</v>
      </c>
      <c r="P5" s="165" t="s">
        <v>398</v>
      </c>
      <c r="Q5" s="167"/>
      <c r="R5" s="167"/>
      <c r="S5" s="167"/>
      <c r="T5" s="167"/>
      <c r="U5" s="220"/>
      <c r="V5" s="171"/>
      <c r="W5" s="171"/>
      <c r="X5" s="171"/>
      <c r="Y5" s="167"/>
    </row>
    <row r="6" spans="2:25" ht="16" customHeight="1" x14ac:dyDescent="0.2">
      <c r="B6" s="169"/>
      <c r="C6" s="169"/>
      <c r="D6" s="170"/>
      <c r="E6" s="170"/>
      <c r="F6" s="170"/>
      <c r="G6" s="170"/>
      <c r="H6" s="170"/>
      <c r="I6" s="171"/>
      <c r="J6" s="171"/>
      <c r="K6" s="171"/>
      <c r="L6" s="171"/>
      <c r="M6" s="171"/>
      <c r="N6" s="171"/>
      <c r="O6" s="171"/>
      <c r="P6" s="171"/>
      <c r="Q6" s="167"/>
      <c r="R6" s="167"/>
      <c r="S6" s="167"/>
      <c r="T6" s="167"/>
      <c r="U6" s="162"/>
      <c r="V6" s="195"/>
      <c r="W6" s="195"/>
      <c r="X6" s="196"/>
      <c r="Y6" s="167"/>
    </row>
    <row r="7" spans="2:25" ht="16" customHeight="1" x14ac:dyDescent="0.2">
      <c r="B7" s="172" t="s">
        <v>417</v>
      </c>
      <c r="C7" s="173" t="s">
        <v>459</v>
      </c>
      <c r="D7" s="174">
        <v>35.840000000000003</v>
      </c>
      <c r="E7" s="175">
        <v>1366</v>
      </c>
      <c r="F7" s="176">
        <f>D7*E7</f>
        <v>48957.440000000002</v>
      </c>
      <c r="G7" s="175">
        <v>8530</v>
      </c>
      <c r="H7" s="176">
        <f>SUM(F7:G7)</f>
        <v>57487.44</v>
      </c>
      <c r="I7" s="175"/>
      <c r="J7" s="175">
        <v>36289</v>
      </c>
      <c r="K7" s="175">
        <v>8069</v>
      </c>
      <c r="L7" s="175">
        <v>4461</v>
      </c>
      <c r="M7" s="177"/>
      <c r="N7" s="178">
        <f>$H7/J7</f>
        <v>1.5841560803549286</v>
      </c>
      <c r="O7" s="178">
        <f>$H7/K7</f>
        <v>7.1244813483703062</v>
      </c>
      <c r="P7" s="178">
        <f>F7/L7</f>
        <v>10.974543824254653</v>
      </c>
      <c r="Q7" s="167"/>
      <c r="R7" s="167"/>
      <c r="S7" s="167"/>
      <c r="T7" s="167"/>
      <c r="U7" s="162"/>
      <c r="V7" s="195"/>
      <c r="W7" s="195"/>
      <c r="X7" s="195"/>
      <c r="Y7" s="167"/>
    </row>
    <row r="8" spans="2:25" ht="16" customHeight="1" x14ac:dyDescent="0.2">
      <c r="B8" t="s">
        <v>418</v>
      </c>
      <c r="C8" s="179" t="s">
        <v>419</v>
      </c>
      <c r="D8" s="180">
        <v>22.28</v>
      </c>
      <c r="E8" s="181">
        <v>866</v>
      </c>
      <c r="F8" s="182">
        <f>D8*E8</f>
        <v>19294.48</v>
      </c>
      <c r="G8" s="181">
        <v>4923</v>
      </c>
      <c r="H8" s="182">
        <f>SUM(F8:G8)</f>
        <v>24217.48</v>
      </c>
      <c r="I8" s="181"/>
      <c r="J8" s="181">
        <v>22944</v>
      </c>
      <c r="K8" s="181">
        <v>4763</v>
      </c>
      <c r="L8" s="181">
        <v>2501</v>
      </c>
      <c r="M8" s="183"/>
      <c r="N8" s="184">
        <f>$H8/J8</f>
        <v>1.0555038354253836</v>
      </c>
      <c r="O8" s="184">
        <f>$H8/K8</f>
        <v>5.0845013646861217</v>
      </c>
      <c r="P8" s="184">
        <f>F8/L8</f>
        <v>7.7147061175529785</v>
      </c>
      <c r="Q8" s="167"/>
      <c r="R8" s="167"/>
      <c r="S8" s="167"/>
      <c r="T8" s="167"/>
      <c r="U8" s="162"/>
      <c r="V8" s="195"/>
      <c r="W8" s="195"/>
      <c r="X8" s="195"/>
      <c r="Y8" s="167"/>
    </row>
    <row r="9" spans="2:25" ht="16" customHeight="1" x14ac:dyDescent="0.2">
      <c r="B9" t="s">
        <v>420</v>
      </c>
      <c r="C9" s="179" t="s">
        <v>421</v>
      </c>
      <c r="D9" s="180">
        <v>39</v>
      </c>
      <c r="E9" s="181">
        <v>992</v>
      </c>
      <c r="F9" s="182">
        <f t="shared" ref="F9:F12" si="0">D9*E9</f>
        <v>38688</v>
      </c>
      <c r="G9" s="181">
        <v>2659</v>
      </c>
      <c r="H9" s="182">
        <f t="shared" ref="H9:H12" si="1">SUM(F9:G9)</f>
        <v>41347</v>
      </c>
      <c r="I9" s="181"/>
      <c r="J9" s="181">
        <v>27829</v>
      </c>
      <c r="K9" s="181">
        <v>4599</v>
      </c>
      <c r="L9" s="181">
        <v>2979</v>
      </c>
      <c r="M9" s="183"/>
      <c r="N9" s="184">
        <f t="shared" ref="N9:O12" si="2">$H9/J9</f>
        <v>1.4857522728089403</v>
      </c>
      <c r="O9" s="184">
        <f t="shared" si="2"/>
        <v>8.9904327027614706</v>
      </c>
      <c r="P9" s="184">
        <f t="shared" ref="P9:P12" si="3">F9/L9</f>
        <v>12.986908358509567</v>
      </c>
      <c r="Q9" s="167"/>
      <c r="R9" s="167"/>
      <c r="S9" s="167"/>
      <c r="T9" s="167"/>
      <c r="U9" s="162"/>
      <c r="V9" s="195"/>
      <c r="W9" s="195"/>
      <c r="X9" s="195"/>
      <c r="Y9" s="167"/>
    </row>
    <row r="10" spans="2:25" ht="16" customHeight="1" x14ac:dyDescent="0.2">
      <c r="B10" t="s">
        <v>422</v>
      </c>
      <c r="C10" s="179" t="s">
        <v>423</v>
      </c>
      <c r="D10" s="180">
        <v>51.04</v>
      </c>
      <c r="E10" s="181">
        <v>73.099999999999994</v>
      </c>
      <c r="F10" s="182">
        <f t="shared" si="0"/>
        <v>3731.0239999999994</v>
      </c>
      <c r="G10" s="181">
        <v>670</v>
      </c>
      <c r="H10" s="182">
        <f t="shared" si="1"/>
        <v>4401.0239999999994</v>
      </c>
      <c r="I10" s="181"/>
      <c r="J10" s="181">
        <v>5513</v>
      </c>
      <c r="K10" s="181">
        <v>1240</v>
      </c>
      <c r="L10" s="181">
        <v>506</v>
      </c>
      <c r="M10" s="183"/>
      <c r="N10" s="184">
        <f>$H10/J10</f>
        <v>0.79829929258117172</v>
      </c>
      <c r="O10" s="184">
        <f t="shared" si="2"/>
        <v>3.549212903225806</v>
      </c>
      <c r="P10" s="184">
        <f t="shared" si="3"/>
        <v>7.3735652173913033</v>
      </c>
      <c r="Q10" s="167"/>
      <c r="R10" s="167"/>
      <c r="S10" s="167"/>
      <c r="T10" s="167"/>
      <c r="U10" s="221"/>
      <c r="V10" s="222"/>
      <c r="W10" s="222"/>
      <c r="X10" s="222"/>
      <c r="Y10" s="167"/>
    </row>
    <row r="11" spans="2:25" ht="16" customHeight="1" x14ac:dyDescent="0.2">
      <c r="B11" t="s">
        <v>424</v>
      </c>
      <c r="C11" s="179" t="s">
        <v>425</v>
      </c>
      <c r="D11" s="180">
        <v>36.450000000000003</v>
      </c>
      <c r="E11" s="181">
        <v>538.49099999999999</v>
      </c>
      <c r="F11" s="182">
        <f t="shared" si="0"/>
        <v>19627.996950000001</v>
      </c>
      <c r="G11" s="181">
        <v>437</v>
      </c>
      <c r="H11" s="182">
        <f t="shared" si="1"/>
        <v>20064.996950000001</v>
      </c>
      <c r="I11" s="181"/>
      <c r="J11" s="181">
        <v>12523.933999999999</v>
      </c>
      <c r="K11" s="181">
        <v>3250.5189999999998</v>
      </c>
      <c r="L11" s="181">
        <v>2036.4449999999999</v>
      </c>
      <c r="M11" s="183"/>
      <c r="N11" s="184">
        <f t="shared" si="2"/>
        <v>1.6021321215841606</v>
      </c>
      <c r="O11" s="184">
        <f t="shared" si="2"/>
        <v>6.1728594572128337</v>
      </c>
      <c r="P11" s="184">
        <f>F11/L11</f>
        <v>9.6383633979803047</v>
      </c>
      <c r="Q11" s="167"/>
      <c r="R11" s="167"/>
      <c r="S11" s="167"/>
      <c r="T11" s="167"/>
      <c r="U11" s="167"/>
      <c r="V11" s="167"/>
      <c r="W11" s="167"/>
      <c r="X11" s="167"/>
      <c r="Y11" s="167"/>
    </row>
    <row r="12" spans="2:25" ht="16" customHeight="1" x14ac:dyDescent="0.2">
      <c r="B12" t="s">
        <v>426</v>
      </c>
      <c r="C12" s="179" t="s">
        <v>436</v>
      </c>
      <c r="D12" s="180">
        <v>13.52</v>
      </c>
      <c r="E12" s="181">
        <v>381</v>
      </c>
      <c r="F12" s="182">
        <f t="shared" si="0"/>
        <v>5151.12</v>
      </c>
      <c r="G12" s="181">
        <v>510</v>
      </c>
      <c r="H12" s="182">
        <f t="shared" si="1"/>
        <v>5661.12</v>
      </c>
      <c r="I12" s="181"/>
      <c r="J12" s="181">
        <v>8870</v>
      </c>
      <c r="K12" s="181">
        <v>1265</v>
      </c>
      <c r="L12" s="181">
        <v>635</v>
      </c>
      <c r="M12" s="183"/>
      <c r="N12" s="184">
        <f t="shared" si="2"/>
        <v>0.63823224351747465</v>
      </c>
      <c r="O12" s="184">
        <f t="shared" si="2"/>
        <v>4.4751936758893276</v>
      </c>
      <c r="P12" s="184">
        <f t="shared" si="3"/>
        <v>8.1120000000000001</v>
      </c>
      <c r="Q12" s="167"/>
      <c r="R12" s="167"/>
      <c r="S12" s="167"/>
      <c r="T12" s="167"/>
      <c r="U12" s="167"/>
      <c r="V12" s="167"/>
      <c r="W12" s="167"/>
      <c r="X12" s="167"/>
      <c r="Y12" s="167"/>
    </row>
    <row r="13" spans="2:25" ht="16" customHeight="1" x14ac:dyDescent="0.2">
      <c r="B13"/>
      <c r="C13" s="179"/>
      <c r="D13" s="180"/>
      <c r="E13" s="181"/>
      <c r="F13" s="182"/>
      <c r="G13" s="181"/>
      <c r="H13" s="182"/>
      <c r="I13" s="181"/>
      <c r="J13" s="181"/>
      <c r="K13" s="181"/>
      <c r="L13" s="181"/>
      <c r="M13" s="183"/>
      <c r="N13" s="184"/>
      <c r="O13" s="184"/>
      <c r="P13" s="184"/>
      <c r="Q13" s="167"/>
      <c r="R13" s="167"/>
      <c r="S13" s="167"/>
      <c r="T13" s="167"/>
      <c r="U13" s="167"/>
      <c r="V13" s="167"/>
      <c r="W13" s="167"/>
      <c r="X13" s="167"/>
      <c r="Y13" s="167"/>
    </row>
    <row r="14" spans="2:25" ht="16" customHeight="1" x14ac:dyDescent="0.2">
      <c r="B14" s="185" t="s">
        <v>402</v>
      </c>
      <c r="C14" s="185"/>
      <c r="D14" s="185"/>
      <c r="E14" s="185"/>
      <c r="F14" s="185"/>
      <c r="G14" s="185"/>
      <c r="H14" s="185"/>
      <c r="I14" s="185"/>
      <c r="J14" s="185"/>
      <c r="K14" s="185"/>
      <c r="L14" s="185"/>
      <c r="M14" s="185"/>
      <c r="N14" s="186">
        <f>MAX(N8:N12)</f>
        <v>1.6021321215841606</v>
      </c>
      <c r="O14" s="186">
        <f>MAX(O8:O12)</f>
        <v>8.9904327027614706</v>
      </c>
      <c r="P14" s="186">
        <f>MAX(P8:P12)</f>
        <v>12.986908358509567</v>
      </c>
      <c r="Q14" s="167"/>
      <c r="R14" s="167"/>
      <c r="S14" s="167"/>
      <c r="T14" s="167"/>
      <c r="U14" s="167"/>
      <c r="V14" s="167"/>
      <c r="W14" s="167"/>
      <c r="X14" s="167"/>
      <c r="Y14" s="167"/>
    </row>
    <row r="15" spans="2:25" ht="16" customHeight="1" x14ac:dyDescent="0.2">
      <c r="B15" s="187" t="s">
        <v>403</v>
      </c>
      <c r="C15" s="188"/>
      <c r="D15" s="188"/>
      <c r="E15" s="188"/>
      <c r="F15" s="188"/>
      <c r="G15" s="188"/>
      <c r="H15" s="188"/>
      <c r="I15" s="188"/>
      <c r="J15" s="188"/>
      <c r="K15" s="188"/>
      <c r="L15" s="188"/>
      <c r="M15" s="188"/>
      <c r="N15" s="189">
        <f>QUARTILE(N8:N12,3)</f>
        <v>1.4857522728089403</v>
      </c>
      <c r="O15" s="189">
        <f>QUARTILE(O8:O12,3)</f>
        <v>6.1728594572128337</v>
      </c>
      <c r="P15" s="189">
        <f>QUARTILE(P8:P12,3)</f>
        <v>9.6383633979803047</v>
      </c>
      <c r="Q15" s="167"/>
      <c r="R15" s="167"/>
      <c r="S15" s="167"/>
      <c r="T15" s="167"/>
      <c r="U15" s="167"/>
      <c r="V15" s="167"/>
      <c r="W15" s="167"/>
      <c r="X15" s="167"/>
      <c r="Y15" s="167"/>
    </row>
    <row r="16" spans="2:25" ht="16" customHeight="1" x14ac:dyDescent="0.2">
      <c r="B16" s="188" t="s">
        <v>404</v>
      </c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90">
        <f>AVERAGE(N8:N12)</f>
        <v>1.1159839531834261</v>
      </c>
      <c r="O16" s="190">
        <f>AVERAGE(O8:O12)</f>
        <v>5.6544400207551124</v>
      </c>
      <c r="P16" s="190">
        <f>AVERAGE(P8:P12)</f>
        <v>9.1651086182868315</v>
      </c>
      <c r="Q16" s="167"/>
      <c r="R16" s="167"/>
      <c r="S16" s="167"/>
      <c r="T16" s="167"/>
      <c r="U16" s="167"/>
      <c r="V16" s="167"/>
      <c r="W16" s="167"/>
      <c r="X16" s="167"/>
      <c r="Y16" s="167"/>
    </row>
    <row r="17" spans="2:25" ht="16" customHeight="1" x14ac:dyDescent="0.2">
      <c r="B17" s="188" t="s">
        <v>405</v>
      </c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90">
        <f>MEDIAN(N8:N12)</f>
        <v>1.0555038354253836</v>
      </c>
      <c r="O17" s="190">
        <f>MEDIAN(O8:O12)</f>
        <v>5.0845013646861217</v>
      </c>
      <c r="P17" s="190">
        <f>MEDIAN(P8:P12)</f>
        <v>8.1120000000000001</v>
      </c>
      <c r="Q17" s="167"/>
      <c r="R17" s="167"/>
      <c r="S17" s="167"/>
      <c r="T17" s="167"/>
      <c r="U17" s="167"/>
      <c r="V17" s="167"/>
      <c r="W17" s="167"/>
      <c r="X17" s="167"/>
      <c r="Y17" s="167"/>
    </row>
    <row r="18" spans="2:25" ht="16" customHeight="1" x14ac:dyDescent="0.2">
      <c r="B18" s="187" t="s">
        <v>406</v>
      </c>
      <c r="C18" s="188"/>
      <c r="D18" s="188"/>
      <c r="E18" s="188"/>
      <c r="F18" s="188"/>
      <c r="G18" s="188"/>
      <c r="H18" s="188"/>
      <c r="I18" s="188"/>
      <c r="J18" s="188"/>
      <c r="K18" s="188"/>
      <c r="L18" s="188"/>
      <c r="M18" s="188"/>
      <c r="N18" s="189">
        <f>QUARTILE(N8:N12,1)</f>
        <v>0.79829929258117172</v>
      </c>
      <c r="O18" s="189">
        <f>QUARTILE(O8:O12,1)</f>
        <v>4.4751936758893276</v>
      </c>
      <c r="P18" s="189">
        <f>QUARTILE(P8:P12,1)</f>
        <v>7.7147061175529785</v>
      </c>
      <c r="Q18" s="167"/>
      <c r="R18" s="167"/>
      <c r="S18" s="167"/>
      <c r="T18" s="167"/>
      <c r="U18" s="167"/>
      <c r="V18" s="167"/>
      <c r="W18" s="167"/>
      <c r="X18" s="167"/>
      <c r="Y18" s="167"/>
    </row>
    <row r="19" spans="2:25" ht="16" customHeight="1" x14ac:dyDescent="0.2">
      <c r="B19" s="191" t="s">
        <v>407</v>
      </c>
      <c r="C19" s="191"/>
      <c r="D19" s="191"/>
      <c r="E19" s="191"/>
      <c r="F19" s="191"/>
      <c r="G19" s="191"/>
      <c r="H19" s="191"/>
      <c r="I19" s="191"/>
      <c r="J19" s="191"/>
      <c r="K19" s="191"/>
      <c r="L19" s="191"/>
      <c r="M19" s="191"/>
      <c r="N19" s="192">
        <f>MIN(N8:N12)</f>
        <v>0.63823224351747465</v>
      </c>
      <c r="O19" s="192">
        <f>MIN(O8:O12)</f>
        <v>3.549212903225806</v>
      </c>
      <c r="P19" s="192">
        <f>MIN(P8:P12)</f>
        <v>7.3735652173913033</v>
      </c>
      <c r="Q19" s="167"/>
      <c r="R19" s="167"/>
      <c r="S19" s="167"/>
      <c r="T19" s="167"/>
      <c r="U19" s="167"/>
      <c r="V19" s="167"/>
      <c r="W19" s="167"/>
      <c r="X19" s="167"/>
      <c r="Y19" s="167"/>
    </row>
    <row r="20" spans="2:25" ht="16" customHeight="1" x14ac:dyDescent="0.2"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7"/>
      <c r="R20" s="167"/>
      <c r="S20" s="167"/>
      <c r="T20" s="167"/>
      <c r="U20" s="167"/>
      <c r="V20" s="167"/>
      <c r="W20" s="167"/>
      <c r="X20" s="167"/>
      <c r="Y20" s="167"/>
    </row>
    <row r="21" spans="2:25" ht="16" customHeight="1" x14ac:dyDescent="0.2">
      <c r="B21" s="164" t="s">
        <v>416</v>
      </c>
      <c r="C21" s="193"/>
      <c r="D21" s="193"/>
      <c r="E21" s="193"/>
      <c r="F21" s="193"/>
      <c r="G21" s="193"/>
      <c r="H21" s="193"/>
      <c r="I21" s="193"/>
      <c r="J21" s="193"/>
      <c r="K21" s="193"/>
      <c r="L21" s="193"/>
      <c r="M21" s="193"/>
      <c r="N21" s="165" t="s">
        <v>396</v>
      </c>
      <c r="O21" s="165" t="s">
        <v>397</v>
      </c>
      <c r="P21" s="165" t="s">
        <v>398</v>
      </c>
      <c r="Q21" s="167"/>
      <c r="R21" s="167"/>
      <c r="S21" s="167"/>
      <c r="T21" s="167"/>
      <c r="U21" s="167"/>
      <c r="V21" s="167"/>
      <c r="W21" s="167"/>
      <c r="X21" s="167"/>
      <c r="Y21" s="167"/>
    </row>
    <row r="22" spans="2:25" ht="16" customHeight="1" x14ac:dyDescent="0.2">
      <c r="B22" s="162" t="s">
        <v>408</v>
      </c>
      <c r="C22" s="162"/>
      <c r="D22" s="162"/>
      <c r="E22" s="162"/>
      <c r="F22" s="162"/>
      <c r="G22" s="162"/>
      <c r="H22" s="162"/>
      <c r="I22" s="162"/>
      <c r="J22" s="194"/>
      <c r="K22" s="162"/>
      <c r="L22" s="162"/>
      <c r="M22" s="162"/>
      <c r="N22" s="195">
        <f>N17*J7</f>
        <v>38303.178683751743</v>
      </c>
      <c r="O22" s="195">
        <f>O17*K7</f>
        <v>41026.841511652317</v>
      </c>
      <c r="P22" s="196">
        <f>P23+P24</f>
        <v>41110.631999999998</v>
      </c>
      <c r="Q22" s="167"/>
      <c r="R22" s="167"/>
      <c r="S22" s="167"/>
      <c r="T22" s="167"/>
      <c r="U22" s="167"/>
      <c r="V22" s="167"/>
      <c r="W22" s="167"/>
      <c r="X22" s="167"/>
      <c r="Y22" s="167"/>
    </row>
    <row r="23" spans="2:25" ht="16" customHeight="1" x14ac:dyDescent="0.2">
      <c r="B23" s="162" t="s">
        <v>409</v>
      </c>
      <c r="C23" s="162"/>
      <c r="D23" s="162"/>
      <c r="E23" s="162"/>
      <c r="F23" s="162"/>
      <c r="G23" s="197"/>
      <c r="H23" s="162"/>
      <c r="I23" s="162"/>
      <c r="J23" s="194"/>
      <c r="K23" s="162"/>
      <c r="L23" s="162"/>
      <c r="M23" s="162"/>
      <c r="N23" s="195">
        <f>$G$8</f>
        <v>4923</v>
      </c>
      <c r="O23" s="195">
        <f>$G$8</f>
        <v>4923</v>
      </c>
      <c r="P23" s="195">
        <f>$G$8</f>
        <v>4923</v>
      </c>
      <c r="Q23" s="167"/>
      <c r="R23" s="167"/>
      <c r="S23" s="167"/>
      <c r="T23" s="167"/>
      <c r="U23" s="167"/>
      <c r="V23" s="167"/>
      <c r="W23" s="167"/>
      <c r="X23" s="167"/>
      <c r="Y23" s="167"/>
    </row>
    <row r="24" spans="2:25" ht="16" customHeight="1" x14ac:dyDescent="0.2">
      <c r="B24" s="162" t="s">
        <v>410</v>
      </c>
      <c r="C24" s="162"/>
      <c r="D24" s="162"/>
      <c r="E24" s="162"/>
      <c r="F24" s="162"/>
      <c r="G24" s="197"/>
      <c r="H24" s="162"/>
      <c r="I24" s="162"/>
      <c r="J24" s="194"/>
      <c r="K24" s="162"/>
      <c r="L24" s="162"/>
      <c r="M24" s="162"/>
      <c r="N24" s="195">
        <f>N22-N23</f>
        <v>33380.178683751743</v>
      </c>
      <c r="O24" s="195">
        <f>O22-O23</f>
        <v>36103.841511652317</v>
      </c>
      <c r="P24" s="195">
        <f>P17*L7</f>
        <v>36187.631999999998</v>
      </c>
      <c r="Q24" s="167"/>
      <c r="R24" s="167"/>
      <c r="S24" s="167"/>
      <c r="T24" s="167"/>
      <c r="U24" s="167"/>
      <c r="V24" s="167"/>
      <c r="W24" s="167"/>
      <c r="X24" s="167"/>
      <c r="Y24" s="167"/>
    </row>
    <row r="25" spans="2:25" ht="16" customHeight="1" x14ac:dyDescent="0.2">
      <c r="B25" s="162" t="s">
        <v>411</v>
      </c>
      <c r="C25" s="162"/>
      <c r="D25" s="162"/>
      <c r="E25" s="162"/>
      <c r="F25" s="162"/>
      <c r="G25" s="197"/>
      <c r="H25" s="162"/>
      <c r="I25" s="162"/>
      <c r="J25" s="162"/>
      <c r="K25" s="162"/>
      <c r="L25" s="162"/>
      <c r="M25" s="162"/>
      <c r="N25" s="195">
        <f>$E$7</f>
        <v>1366</v>
      </c>
      <c r="O25" s="195">
        <f>$E$7</f>
        <v>1366</v>
      </c>
      <c r="P25" s="195">
        <f>$E$7</f>
        <v>1366</v>
      </c>
      <c r="Q25" s="167"/>
      <c r="R25" s="167"/>
      <c r="S25" s="167"/>
      <c r="T25" s="167"/>
      <c r="U25" s="167"/>
      <c r="V25" s="167"/>
      <c r="W25" s="167"/>
      <c r="X25" s="167"/>
      <c r="Y25" s="167"/>
    </row>
    <row r="26" spans="2:25" ht="16" customHeight="1" x14ac:dyDescent="0.2">
      <c r="B26" s="216" t="s">
        <v>412</v>
      </c>
      <c r="C26" s="216"/>
      <c r="D26" s="217"/>
      <c r="E26" s="217"/>
      <c r="F26" s="216"/>
      <c r="G26" s="218"/>
      <c r="H26" s="216"/>
      <c r="I26" s="216"/>
      <c r="J26" s="216"/>
      <c r="K26" s="216"/>
      <c r="L26" s="216"/>
      <c r="M26" s="216"/>
      <c r="N26" s="219">
        <f>N24/N25</f>
        <v>24.436441203332169</v>
      </c>
      <c r="O26" s="219">
        <f t="shared" ref="O26:P26" si="4">O24/O25</f>
        <v>26.430337856260849</v>
      </c>
      <c r="P26" s="219">
        <f t="shared" si="4"/>
        <v>26.491677891654465</v>
      </c>
      <c r="Q26" s="167"/>
      <c r="R26" s="167"/>
      <c r="S26" s="167"/>
      <c r="T26" s="167"/>
      <c r="U26" s="167"/>
      <c r="V26" s="167"/>
      <c r="W26" s="167"/>
      <c r="X26" s="167"/>
      <c r="Y26" s="167"/>
    </row>
    <row r="27" spans="2:25" ht="16" customHeight="1" x14ac:dyDescent="0.2">
      <c r="B27" s="242" t="s">
        <v>437</v>
      </c>
      <c r="C27" s="243"/>
      <c r="D27" s="243"/>
      <c r="E27" s="243"/>
      <c r="F27" s="243"/>
      <c r="G27" s="243"/>
      <c r="H27" s="243"/>
      <c r="I27" s="243"/>
      <c r="J27" s="243"/>
      <c r="K27" s="243"/>
      <c r="L27" s="243"/>
      <c r="M27" s="243"/>
      <c r="N27" s="243"/>
      <c r="O27" s="243"/>
      <c r="P27" s="243"/>
      <c r="Q27" s="167"/>
      <c r="R27" s="167"/>
      <c r="S27" s="167"/>
      <c r="T27" s="167"/>
      <c r="U27" s="167"/>
      <c r="V27" s="167"/>
      <c r="W27" s="167"/>
      <c r="X27" s="167"/>
      <c r="Y27" s="167"/>
    </row>
    <row r="28" spans="2:25" ht="16" customHeight="1" x14ac:dyDescent="0.2">
      <c r="B28" s="167"/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</row>
    <row r="29" spans="2:25" ht="16" customHeight="1" x14ac:dyDescent="0.2">
      <c r="B29" s="238" t="s">
        <v>413</v>
      </c>
      <c r="C29" s="238"/>
      <c r="D29" s="238"/>
      <c r="E29" s="238"/>
      <c r="F29" s="238"/>
      <c r="G29" s="238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</row>
    <row r="30" spans="2:25" ht="16" customHeight="1" x14ac:dyDescent="0.2">
      <c r="B30" s="238" t="s">
        <v>414</v>
      </c>
      <c r="C30" s="238"/>
      <c r="D30" s="238"/>
      <c r="E30" s="238"/>
      <c r="F30" s="238"/>
      <c r="G30" s="238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</row>
    <row r="31" spans="2:25" ht="16" customHeight="1" x14ac:dyDescent="0.2">
      <c r="B31" s="248" t="s">
        <v>427</v>
      </c>
      <c r="C31" s="248"/>
      <c r="D31" s="248"/>
      <c r="E31" s="248"/>
      <c r="F31" s="248"/>
      <c r="G31" s="248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</row>
    <row r="32" spans="2:25" ht="16" customHeight="1" x14ac:dyDescent="0.2">
      <c r="B32" s="248" t="s">
        <v>428</v>
      </c>
      <c r="C32" s="248"/>
      <c r="D32" s="248"/>
      <c r="E32" s="248"/>
      <c r="F32" s="248"/>
      <c r="G32" s="248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</row>
    <row r="33" spans="2:25" ht="16" customHeight="1" x14ac:dyDescent="0.2">
      <c r="B33" s="248" t="s">
        <v>429</v>
      </c>
      <c r="C33" s="248"/>
      <c r="D33" s="248"/>
      <c r="E33" s="248"/>
      <c r="F33" s="248"/>
      <c r="G33" s="248"/>
      <c r="Q33" s="167"/>
      <c r="R33" s="167"/>
      <c r="S33" s="167"/>
      <c r="T33" s="167"/>
      <c r="U33" s="167"/>
      <c r="V33" s="167"/>
      <c r="W33" s="167"/>
      <c r="X33" s="167"/>
      <c r="Y33" s="167"/>
    </row>
    <row r="34" spans="2:25" ht="16" customHeight="1" x14ac:dyDescent="0.2">
      <c r="B34" s="198" t="s">
        <v>391</v>
      </c>
      <c r="C34" s="249" t="s">
        <v>415</v>
      </c>
      <c r="D34" s="250"/>
      <c r="E34" s="250"/>
      <c r="F34" s="250"/>
      <c r="G34" s="251"/>
      <c r="Q34" s="167"/>
      <c r="R34" s="167"/>
      <c r="S34" s="167"/>
      <c r="T34" s="167"/>
      <c r="U34" s="167"/>
      <c r="V34" s="167"/>
      <c r="W34" s="167"/>
      <c r="X34" s="167"/>
      <c r="Y34" s="167"/>
    </row>
    <row r="35" spans="2:25" ht="16" customHeight="1" x14ac:dyDescent="0.2">
      <c r="B35" s="199" t="s">
        <v>418</v>
      </c>
      <c r="C35" s="247" t="s">
        <v>430</v>
      </c>
      <c r="D35" s="247"/>
      <c r="E35" s="247"/>
      <c r="F35" s="247"/>
      <c r="G35" s="247"/>
      <c r="Q35" s="167"/>
      <c r="R35" s="167"/>
      <c r="S35" s="167"/>
      <c r="T35" s="167"/>
      <c r="U35" s="167"/>
      <c r="V35" s="167"/>
      <c r="W35" s="167"/>
      <c r="X35" s="167"/>
      <c r="Y35" s="167"/>
    </row>
    <row r="36" spans="2:25" ht="16" customHeight="1" x14ac:dyDescent="0.2">
      <c r="B36" s="199" t="s">
        <v>420</v>
      </c>
      <c r="C36" s="247" t="s">
        <v>431</v>
      </c>
      <c r="D36" s="247"/>
      <c r="E36" s="247"/>
      <c r="F36" s="247"/>
      <c r="G36" s="24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</row>
    <row r="37" spans="2:25" ht="16" customHeight="1" x14ac:dyDescent="0.2">
      <c r="B37" s="199" t="s">
        <v>422</v>
      </c>
      <c r="C37" s="247" t="s">
        <v>432</v>
      </c>
      <c r="D37" s="247"/>
      <c r="E37" s="247"/>
      <c r="F37" s="247"/>
      <c r="G37" s="24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</row>
    <row r="38" spans="2:25" ht="16" customHeight="1" x14ac:dyDescent="0.2">
      <c r="B38" s="199" t="s">
        <v>424</v>
      </c>
      <c r="C38" s="247" t="s">
        <v>433</v>
      </c>
      <c r="D38" s="247"/>
      <c r="E38" s="247"/>
      <c r="F38" s="247"/>
      <c r="G38" s="247"/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</row>
    <row r="39" spans="2:25" ht="16" x14ac:dyDescent="0.2">
      <c r="B39" s="199" t="s">
        <v>426</v>
      </c>
      <c r="C39" s="247" t="s">
        <v>434</v>
      </c>
      <c r="D39" s="247"/>
      <c r="E39" s="247"/>
      <c r="F39" s="247"/>
      <c r="G39" s="247"/>
      <c r="Q39" s="167"/>
      <c r="R39" s="167"/>
      <c r="S39" s="167"/>
      <c r="T39" s="167"/>
      <c r="U39" s="167"/>
      <c r="V39" s="167"/>
      <c r="W39" s="167"/>
      <c r="X39" s="167"/>
      <c r="Y39" s="167"/>
    </row>
    <row r="40" spans="2:25" ht="12" customHeight="1" x14ac:dyDescent="0.2">
      <c r="Q40" s="167"/>
      <c r="R40" s="167"/>
      <c r="S40" s="167"/>
      <c r="T40" s="167"/>
      <c r="U40" s="167"/>
      <c r="V40" s="167"/>
      <c r="W40" s="167"/>
      <c r="X40" s="167"/>
      <c r="Y40" s="167"/>
    </row>
  </sheetData>
  <mergeCells count="22">
    <mergeCell ref="C38:G38"/>
    <mergeCell ref="C39:G39"/>
    <mergeCell ref="B30:G30"/>
    <mergeCell ref="B31:G31"/>
    <mergeCell ref="B32:G32"/>
    <mergeCell ref="B33:G33"/>
    <mergeCell ref="C35:G35"/>
    <mergeCell ref="C36:G36"/>
    <mergeCell ref="C37:G37"/>
    <mergeCell ref="C34:G34"/>
    <mergeCell ref="B29:G29"/>
    <mergeCell ref="M1:R1"/>
    <mergeCell ref="M2:N2"/>
    <mergeCell ref="O2:P2"/>
    <mergeCell ref="Q2:R2"/>
    <mergeCell ref="E2:G2"/>
    <mergeCell ref="B27:P27"/>
    <mergeCell ref="D4:H4"/>
    <mergeCell ref="J4:L4"/>
    <mergeCell ref="N4:P4"/>
    <mergeCell ref="B3:E3"/>
    <mergeCell ref="F3:G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4183-2D93-BC49-9C66-0968089E69DD}">
  <sheetPr>
    <tabColor rgb="FF002060"/>
  </sheetPr>
  <dimension ref="B1:B11"/>
  <sheetViews>
    <sheetView zoomScale="130" zoomScaleNormal="130" workbookViewId="0">
      <selection activeCell="B12" sqref="B12"/>
    </sheetView>
  </sheetViews>
  <sheetFormatPr baseColWidth="10" defaultColWidth="9.1640625" defaultRowHeight="12" x14ac:dyDescent="0.15"/>
  <cols>
    <col min="1" max="1" width="2" style="2" customWidth="1"/>
    <col min="2" max="16384" width="9.1640625" style="2"/>
  </cols>
  <sheetData>
    <row r="1" spans="2:2" ht="16" x14ac:dyDescent="0.2">
      <c r="B1" s="1"/>
    </row>
    <row r="11" spans="2:2" ht="40" x14ac:dyDescent="0.4">
      <c r="B11" s="9" t="s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19BA8-4F17-D941-A0CA-1A32F24BD562}">
  <dimension ref="B1:K6"/>
  <sheetViews>
    <sheetView zoomScale="125" workbookViewId="0">
      <selection activeCell="H7" sqref="H7"/>
    </sheetView>
  </sheetViews>
  <sheetFormatPr baseColWidth="10" defaultColWidth="9.1640625" defaultRowHeight="12" x14ac:dyDescent="0.15"/>
  <cols>
    <col min="1" max="1" width="2" style="2" customWidth="1"/>
    <col min="2" max="2" width="24.1640625" style="2" bestFit="1" customWidth="1"/>
    <col min="3" max="5" width="9.1640625" style="2"/>
    <col min="6" max="6" width="2" style="2" customWidth="1"/>
    <col min="7" max="16384" width="9.1640625" style="2"/>
  </cols>
  <sheetData>
    <row r="1" spans="2:11" ht="16" x14ac:dyDescent="0.2">
      <c r="B1" s="1" t="s">
        <v>54</v>
      </c>
    </row>
    <row r="3" spans="2:11" ht="27" thickBot="1" x14ac:dyDescent="0.2">
      <c r="B3" s="12" t="s">
        <v>99</v>
      </c>
      <c r="C3" s="13" t="s">
        <v>181</v>
      </c>
      <c r="D3" s="13" t="s">
        <v>182</v>
      </c>
      <c r="E3" s="13" t="s">
        <v>183</v>
      </c>
      <c r="F3" s="14"/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</row>
    <row r="4" spans="2:11" x14ac:dyDescent="0.15">
      <c r="B4" s="2" t="s">
        <v>20</v>
      </c>
      <c r="C4" s="48">
        <f>'P&amp;L and BS'!C6</f>
        <v>28091</v>
      </c>
      <c r="D4" s="48">
        <f>'P&amp;L and BS'!D6</f>
        <v>33135</v>
      </c>
      <c r="E4" s="48">
        <f>'P&amp;L and BS'!E6</f>
        <v>36289</v>
      </c>
      <c r="F4" s="48">
        <f>'P&amp;L and BS'!F6</f>
        <v>0</v>
      </c>
      <c r="G4" s="49">
        <f>'P&amp;L and BS'!G6</f>
        <v>38116.884999999995</v>
      </c>
      <c r="H4" s="49">
        <f>'P&amp;L and BS'!H6</f>
        <v>40038.717624999997</v>
      </c>
      <c r="I4" s="49">
        <f>'P&amp;L and BS'!I6</f>
        <v>42059.427086124997</v>
      </c>
      <c r="J4" s="49">
        <f>'P&amp;L and BS'!J6</f>
        <v>44184.206503080626</v>
      </c>
      <c r="K4" s="49">
        <f>'P&amp;L and BS'!K6</f>
        <v>46418.527305684052</v>
      </c>
    </row>
    <row r="5" spans="2:11" x14ac:dyDescent="0.15">
      <c r="B5" s="2" t="s">
        <v>33</v>
      </c>
      <c r="C5" s="48">
        <f>'P&amp;L and BS'!C15</f>
        <v>6298</v>
      </c>
      <c r="D5" s="48">
        <f>'P&amp;L and BS'!D15</f>
        <v>7755</v>
      </c>
      <c r="E5" s="48">
        <f>'P&amp;L and BS'!E15</f>
        <v>8323</v>
      </c>
      <c r="F5" s="48">
        <f>'P&amp;L and BS'!F15</f>
        <v>0</v>
      </c>
      <c r="G5" s="49">
        <f>'P&amp;L and BS'!G15</f>
        <v>9235.3304049999988</v>
      </c>
      <c r="H5" s="49">
        <f>'P&amp;L and BS'!H15</f>
        <v>9689.7559596249994</v>
      </c>
      <c r="I5" s="49">
        <f>'P&amp;L and BS'!I15</f>
        <v>10166.960805392122</v>
      </c>
      <c r="J5" s="49">
        <f>'P&amp;L and BS'!J15</f>
        <v>10668.109818873812</v>
      </c>
      <c r="K5" s="49">
        <f>'P&amp;L and BS'!K15</f>
        <v>11194.428684596514</v>
      </c>
    </row>
    <row r="6" spans="2:11" x14ac:dyDescent="0.15">
      <c r="B6" s="2" t="s">
        <v>55</v>
      </c>
      <c r="C6" s="18">
        <f>C5/C4</f>
        <v>0.22419992168310135</v>
      </c>
      <c r="D6" s="18">
        <f>D5/D4</f>
        <v>0.23404255319148937</v>
      </c>
      <c r="E6" s="18">
        <f>E5/E4</f>
        <v>0.22935324754057704</v>
      </c>
      <c r="F6" s="18"/>
      <c r="G6" s="50">
        <f>G5/G4</f>
        <v>0.2422897465257195</v>
      </c>
      <c r="H6" s="50">
        <f>H5/H4</f>
        <v>0.24200964802066385</v>
      </c>
      <c r="I6" s="50">
        <f>I5/I4</f>
        <v>0.24172846635721543</v>
      </c>
      <c r="J6" s="50">
        <f>J5/J4</f>
        <v>0.24144622396081747</v>
      </c>
      <c r="K6" s="50">
        <f>K5/K4</f>
        <v>0.24116294364267199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FEB7-520F-F44C-92B7-47AC5D026AC5}">
  <dimension ref="B1:G5"/>
  <sheetViews>
    <sheetView zoomScale="139" workbookViewId="0">
      <selection activeCell="N9" sqref="N9"/>
    </sheetView>
  </sheetViews>
  <sheetFormatPr baseColWidth="10" defaultColWidth="9.1640625" defaultRowHeight="12" x14ac:dyDescent="0.15"/>
  <cols>
    <col min="1" max="1" width="2" style="2" customWidth="1"/>
    <col min="2" max="2" width="19.5" style="2" bestFit="1" customWidth="1"/>
    <col min="3" max="16384" width="9.1640625" style="2"/>
  </cols>
  <sheetData>
    <row r="1" spans="2:7" ht="16" x14ac:dyDescent="0.2">
      <c r="B1" s="1" t="s">
        <v>9</v>
      </c>
    </row>
    <row r="3" spans="2:7" ht="27" thickBot="1" x14ac:dyDescent="0.2">
      <c r="B3" s="12" t="s">
        <v>99</v>
      </c>
      <c r="C3" s="15" t="s">
        <v>184</v>
      </c>
      <c r="D3" s="15" t="s">
        <v>185</v>
      </c>
      <c r="E3" s="15" t="s">
        <v>186</v>
      </c>
      <c r="F3" s="15" t="s">
        <v>187</v>
      </c>
      <c r="G3" s="15" t="s">
        <v>188</v>
      </c>
    </row>
    <row r="4" spans="2:7" x14ac:dyDescent="0.15">
      <c r="B4" s="11" t="s">
        <v>43</v>
      </c>
      <c r="C4" s="17">
        <f>'DCF valuation'!G8</f>
        <v>5825.4720389999984</v>
      </c>
      <c r="D4" s="17">
        <f>'DCF valuation'!H8</f>
        <v>6110.2173450749997</v>
      </c>
      <c r="E4" s="17">
        <f>'DCF valuation'!I8</f>
        <v>6409.1321337825711</v>
      </c>
      <c r="F4" s="17">
        <f>'DCF valuation'!J8</f>
        <v>6722.9353884727434</v>
      </c>
      <c r="G4" s="17">
        <f>'DCF valuation'!K8</f>
        <v>7052.3833281441657</v>
      </c>
    </row>
    <row r="5" spans="2:7" x14ac:dyDescent="0.15">
      <c r="B5" s="11" t="s">
        <v>46</v>
      </c>
      <c r="C5" s="17">
        <f>'DCF valuation'!G11</f>
        <v>5334.1540273105884</v>
      </c>
      <c r="D5" s="17">
        <f>'DCF valuation'!H11</f>
        <v>5123.0137169223999</v>
      </c>
      <c r="E5" s="17">
        <f>'DCF valuation'!I11</f>
        <v>4920.4238544045529</v>
      </c>
      <c r="F5" s="17">
        <f>'DCF valuation'!J11</f>
        <v>4726.0319948705555</v>
      </c>
      <c r="G5" s="17">
        <f>'DCF valuation'!K11</f>
        <v>4539.5004145997455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602B-B30A-E443-BC7C-79AD7FD8E459}">
  <dimension ref="B1:O7"/>
  <sheetViews>
    <sheetView workbookViewId="0">
      <selection activeCell="Q16" sqref="Q16"/>
    </sheetView>
  </sheetViews>
  <sheetFormatPr baseColWidth="10" defaultColWidth="9.1640625" defaultRowHeight="12" x14ac:dyDescent="0.15"/>
  <cols>
    <col min="1" max="1" width="2" style="2" customWidth="1"/>
    <col min="2" max="2" width="16.33203125" style="2" bestFit="1" customWidth="1"/>
    <col min="3" max="14" width="9.1640625" style="2"/>
    <col min="15" max="15" width="11.33203125" style="2" customWidth="1"/>
    <col min="16" max="16384" width="9.1640625" style="2"/>
  </cols>
  <sheetData>
    <row r="1" spans="2:15" ht="16" x14ac:dyDescent="0.2">
      <c r="B1" s="1" t="s">
        <v>10</v>
      </c>
      <c r="D1" s="138"/>
      <c r="E1" s="138"/>
      <c r="F1" s="138"/>
      <c r="G1" s="138"/>
      <c r="H1" s="138"/>
      <c r="I1" s="138"/>
      <c r="J1" s="138"/>
    </row>
    <row r="2" spans="2:15" x14ac:dyDescent="0.15">
      <c r="K2" s="130">
        <f>C3</f>
        <v>8323</v>
      </c>
      <c r="L2" s="131">
        <f>K2</f>
        <v>8323</v>
      </c>
      <c r="M2" s="132">
        <f>L2+L3+C5</f>
        <v>11651.88122499999</v>
      </c>
      <c r="N2" s="132">
        <f>M2</f>
        <v>11651.88122499999</v>
      </c>
      <c r="O2" s="133"/>
    </row>
    <row r="3" spans="2:15" ht="12" customHeight="1" x14ac:dyDescent="0.15">
      <c r="B3" s="129" t="s">
        <v>305</v>
      </c>
      <c r="C3" s="2">
        <f>'P&amp;L and BS'!E15</f>
        <v>8323</v>
      </c>
      <c r="K3" s="134">
        <v>0</v>
      </c>
      <c r="L3" s="135">
        <f>C4</f>
        <v>1827.8849999999948</v>
      </c>
      <c r="M3" s="136">
        <f>-C5</f>
        <v>-1500.9962249999953</v>
      </c>
      <c r="N3" s="136">
        <f>C6</f>
        <v>-85.740319999999883</v>
      </c>
      <c r="O3" s="137">
        <f>N3+N2</f>
        <v>11566.140904999989</v>
      </c>
    </row>
    <row r="4" spans="2:15" ht="52" customHeight="1" x14ac:dyDescent="0.15">
      <c r="B4" s="129" t="s">
        <v>56</v>
      </c>
      <c r="C4" s="2">
        <f>'P&amp;L and BS'!G6-'P&amp;L and BS'!E6</f>
        <v>1827.8849999999948</v>
      </c>
      <c r="E4" s="252" t="s">
        <v>309</v>
      </c>
      <c r="F4" s="253"/>
      <c r="G4" s="253"/>
      <c r="H4" s="253"/>
      <c r="I4" s="254"/>
      <c r="K4" s="139" t="str">
        <f>B3</f>
        <v>EBITDA FY24</v>
      </c>
      <c r="L4" s="140" t="str">
        <f>B4</f>
        <v>Delta Revenues</v>
      </c>
      <c r="M4" s="140" t="str">
        <f>B5</f>
        <v>Delta Cost of revenue</v>
      </c>
      <c r="N4" s="140" t="str">
        <f>B6</f>
        <v>Delta Opex</v>
      </c>
      <c r="O4" s="141" t="str">
        <f>B7</f>
        <v>EBITDA FY25</v>
      </c>
    </row>
    <row r="5" spans="2:15" x14ac:dyDescent="0.15">
      <c r="B5" s="129" t="s">
        <v>306</v>
      </c>
      <c r="C5" s="2">
        <f>ABS(SUM('P&amp;L and BS'!G8:G9)-SUM('P&amp;L and BS'!E8:E9))</f>
        <v>1500.9962249999953</v>
      </c>
      <c r="E5" s="255" t="s">
        <v>310</v>
      </c>
      <c r="F5" s="256"/>
      <c r="G5" s="256"/>
      <c r="H5" s="256"/>
      <c r="I5" s="257"/>
    </row>
    <row r="6" spans="2:15" x14ac:dyDescent="0.15">
      <c r="B6" s="129" t="s">
        <v>57</v>
      </c>
      <c r="C6" s="2">
        <f>'P&amp;L and BS'!G12-'P&amp;L and BS'!E12</f>
        <v>-85.740319999999883</v>
      </c>
      <c r="E6" s="258"/>
      <c r="F6" s="259"/>
      <c r="G6" s="259"/>
      <c r="H6" s="259"/>
      <c r="I6" s="260"/>
    </row>
    <row r="7" spans="2:15" x14ac:dyDescent="0.15">
      <c r="B7" s="129" t="s">
        <v>307</v>
      </c>
      <c r="C7" s="2">
        <f>'P&amp;L and BS'!G15</f>
        <v>9235.3304049999988</v>
      </c>
      <c r="E7" s="261"/>
      <c r="F7" s="262"/>
      <c r="G7" s="262"/>
      <c r="H7" s="262"/>
      <c r="I7" s="263"/>
    </row>
  </sheetData>
  <mergeCells count="2">
    <mergeCell ref="E4:I4"/>
    <mergeCell ref="E5:I7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5F4E4-9EFC-AC47-92D1-60ADC1206CF3}">
  <dimension ref="B1:K11"/>
  <sheetViews>
    <sheetView workbookViewId="0">
      <selection activeCell="S28" sqref="S28"/>
    </sheetView>
  </sheetViews>
  <sheetFormatPr baseColWidth="10" defaultColWidth="9.1640625" defaultRowHeight="12" x14ac:dyDescent="0.15"/>
  <cols>
    <col min="1" max="1" width="2" style="2" customWidth="1"/>
    <col min="2" max="2" width="18.5" style="2" bestFit="1" customWidth="1"/>
    <col min="3" max="5" width="9.1640625" style="2"/>
    <col min="6" max="6" width="2" style="2" customWidth="1"/>
    <col min="7" max="16384" width="9.1640625" style="2"/>
  </cols>
  <sheetData>
    <row r="1" spans="2:11" ht="16" x14ac:dyDescent="0.2">
      <c r="B1" s="1" t="s">
        <v>11</v>
      </c>
    </row>
    <row r="3" spans="2:11" ht="27" thickBot="1" x14ac:dyDescent="0.2">
      <c r="B3" s="12" t="s">
        <v>99</v>
      </c>
      <c r="C3" s="13" t="s">
        <v>181</v>
      </c>
      <c r="D3" s="13" t="s">
        <v>182</v>
      </c>
      <c r="E3" s="13" t="s">
        <v>183</v>
      </c>
      <c r="F3" s="14"/>
      <c r="G3" s="15" t="s">
        <v>184</v>
      </c>
      <c r="H3" s="15" t="s">
        <v>185</v>
      </c>
      <c r="I3" s="15" t="s">
        <v>186</v>
      </c>
      <c r="J3" s="15" t="s">
        <v>187</v>
      </c>
      <c r="K3" s="15" t="s">
        <v>188</v>
      </c>
    </row>
    <row r="4" spans="2:11" x14ac:dyDescent="0.15">
      <c r="B4" s="35" t="s">
        <v>105</v>
      </c>
      <c r="C4" s="48">
        <f>'P&amp;L and BS'!C35</f>
        <v>3999</v>
      </c>
      <c r="D4" s="48">
        <f>'P&amp;L and BS'!D35</f>
        <v>4387</v>
      </c>
      <c r="E4" s="48">
        <f>'P&amp;L and BS'!E35</f>
        <v>4375</v>
      </c>
      <c r="F4" s="48">
        <f>'P&amp;L and BS'!F35</f>
        <v>0</v>
      </c>
      <c r="G4" s="48">
        <f>'P&amp;L and BS'!G35</f>
        <v>4810.5994520547938</v>
      </c>
      <c r="H4" s="48">
        <f>'P&amp;L and BS'!H35</f>
        <v>5099.2354191780823</v>
      </c>
      <c r="I4" s="48">
        <f>'P&amp;L and BS'!I35</f>
        <v>5405.1895443287676</v>
      </c>
      <c r="J4" s="48">
        <f>'P&amp;L and BS'!J35</f>
        <v>5729.5009169884934</v>
      </c>
      <c r="K4" s="48">
        <f>'P&amp;L and BS'!K35</f>
        <v>6073.2709720078037</v>
      </c>
    </row>
    <row r="5" spans="2:11" x14ac:dyDescent="0.15">
      <c r="B5" s="2" t="s">
        <v>217</v>
      </c>
      <c r="C5" s="48">
        <f>'P&amp;L and BS'!C33</f>
        <v>6766</v>
      </c>
      <c r="D5" s="48">
        <f>'P&amp;L and BS'!D33</f>
        <v>7812</v>
      </c>
      <c r="E5" s="48">
        <f>'P&amp;L and BS'!E33</f>
        <v>8011</v>
      </c>
      <c r="F5" s="48">
        <f>'P&amp;L and BS'!F33</f>
        <v>0</v>
      </c>
      <c r="G5" s="48">
        <f>'P&amp;L and BS'!G33</f>
        <v>8337.4537671232883</v>
      </c>
      <c r="H5" s="48">
        <f>'P&amp;L and BS'!H33</f>
        <v>8712.6391866438335</v>
      </c>
      <c r="I5" s="48">
        <f>'P&amp;L and BS'!I33</f>
        <v>9104.7079500428063</v>
      </c>
      <c r="J5" s="48">
        <f>'P&amp;L and BS'!J33</f>
        <v>9514.4198077947331</v>
      </c>
      <c r="K5" s="48">
        <f>'P&amp;L and BS'!K33</f>
        <v>9942.5686991454968</v>
      </c>
    </row>
    <row r="6" spans="2:11" x14ac:dyDescent="0.15">
      <c r="B6" s="2" t="s">
        <v>308</v>
      </c>
      <c r="C6" s="48">
        <f>'P&amp;L and BS'!C45</f>
        <v>9121</v>
      </c>
      <c r="D6" s="48">
        <f>'P&amp;L and BS'!D45</f>
        <v>10904</v>
      </c>
      <c r="E6" s="48">
        <f>'P&amp;L and BS'!E45</f>
        <v>10375</v>
      </c>
      <c r="F6" s="48">
        <f>'P&amp;L and BS'!F45</f>
        <v>0</v>
      </c>
      <c r="G6" s="48">
        <f>'P&amp;L and BS'!G45</f>
        <v>12048.902609931505</v>
      </c>
      <c r="H6" s="48">
        <f>'P&amp;L and BS'!H45</f>
        <v>12660.856919433218</v>
      </c>
      <c r="I6" s="48">
        <f>'P&amp;L and BS'!I45</f>
        <v>13304.534394385795</v>
      </c>
      <c r="J6" s="48">
        <f>'P&amp;L and BS'!J45</f>
        <v>13981.613690525925</v>
      </c>
      <c r="K6" s="48">
        <f>'P&amp;L and BS'!K45</f>
        <v>14693.864069895923</v>
      </c>
    </row>
    <row r="7" spans="2:11" x14ac:dyDescent="0.15">
      <c r="B7" s="51" t="s">
        <v>11</v>
      </c>
      <c r="C7" s="52">
        <f>C4+C5-C6</f>
        <v>1644</v>
      </c>
      <c r="D7" s="52">
        <f>D4+D5-D6</f>
        <v>1295</v>
      </c>
      <c r="E7" s="52">
        <f>E4+E5-E6</f>
        <v>2011</v>
      </c>
      <c r="F7" s="52"/>
      <c r="G7" s="53">
        <f>G4+G5-G6</f>
        <v>1099.150609246577</v>
      </c>
      <c r="H7" s="53">
        <f>H4+H5-H6</f>
        <v>1151.0176863886973</v>
      </c>
      <c r="I7" s="53">
        <f>I4+I5-I6</f>
        <v>1205.3630999857778</v>
      </c>
      <c r="J7" s="53">
        <f>J4+J5-J6</f>
        <v>1262.3070342573028</v>
      </c>
      <c r="K7" s="53">
        <f>K4+K5-K6</f>
        <v>1321.975601257378</v>
      </c>
    </row>
    <row r="9" spans="2:11" x14ac:dyDescent="0.15">
      <c r="B9" s="35" t="s">
        <v>58</v>
      </c>
      <c r="C9" s="48">
        <f>Assumptions!C73</f>
        <v>126.30881751227497</v>
      </c>
      <c r="D9" s="48">
        <f>Assumptions!D73</f>
        <v>127.07250768750836</v>
      </c>
      <c r="E9" s="48">
        <f>Assumptions!E73</f>
        <v>125.5103661415633</v>
      </c>
      <c r="F9" s="48">
        <f>Assumptions!F73</f>
        <v>0</v>
      </c>
      <c r="G9" s="48">
        <f>Assumptions!G73</f>
        <v>125</v>
      </c>
      <c r="H9" s="48">
        <f>Assumptions!H73</f>
        <v>125</v>
      </c>
      <c r="I9" s="48">
        <f>Assumptions!I73</f>
        <v>125</v>
      </c>
      <c r="J9" s="48">
        <f>Assumptions!J73</f>
        <v>125</v>
      </c>
      <c r="K9" s="48">
        <f>Assumptions!K73</f>
        <v>125</v>
      </c>
    </row>
    <row r="10" spans="2:11" x14ac:dyDescent="0.15">
      <c r="B10" s="2" t="s">
        <v>59</v>
      </c>
      <c r="C10" s="48">
        <f>Assumptions!C85</f>
        <v>189.63687150837987</v>
      </c>
      <c r="D10" s="48">
        <f>Assumptions!D85</f>
        <v>171.42222460122042</v>
      </c>
      <c r="E10" s="48">
        <f>Assumptions!E85</f>
        <v>145.40839555636495</v>
      </c>
      <c r="F10" s="48">
        <f>Assumptions!F85</f>
        <v>0</v>
      </c>
      <c r="G10" s="48">
        <f>Assumptions!G85</f>
        <v>150</v>
      </c>
      <c r="H10" s="48">
        <f>Assumptions!H85</f>
        <v>150</v>
      </c>
      <c r="I10" s="48">
        <f>Assumptions!I85</f>
        <v>150</v>
      </c>
      <c r="J10" s="48">
        <f>Assumptions!J85</f>
        <v>150</v>
      </c>
      <c r="K10" s="48">
        <f>Assumptions!K85</f>
        <v>150</v>
      </c>
    </row>
    <row r="11" spans="2:11" x14ac:dyDescent="0.15">
      <c r="B11" s="2" t="s">
        <v>60</v>
      </c>
      <c r="C11" s="48">
        <f>Assumptions!C97</f>
        <v>145.18818142171827</v>
      </c>
      <c r="D11" s="48">
        <f>Assumptions!D97</f>
        <v>149.7802197802198</v>
      </c>
      <c r="E11" s="48">
        <f>Assumptions!E97</f>
        <v>131.3564466335981</v>
      </c>
      <c r="F11" s="48">
        <f>Assumptions!F97</f>
        <v>0</v>
      </c>
      <c r="G11" s="48">
        <f>Assumptions!G97</f>
        <v>145</v>
      </c>
      <c r="H11" s="48">
        <f>Assumptions!H97</f>
        <v>145</v>
      </c>
      <c r="I11" s="48">
        <f>Assumptions!I97</f>
        <v>145</v>
      </c>
      <c r="J11" s="48">
        <f>Assumptions!J97</f>
        <v>145</v>
      </c>
      <c r="K11" s="48">
        <f>Assumptions!K97</f>
        <v>145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Index</vt:lpstr>
      <vt:lpstr>1) Sources --&gt;</vt:lpstr>
      <vt:lpstr>P&amp;L source</vt:lpstr>
      <vt:lpstr>BS source</vt:lpstr>
      <vt:lpstr>CF source</vt:lpstr>
      <vt:lpstr>2) Financial Statement Analysis</vt:lpstr>
      <vt:lpstr>Ratios</vt:lpstr>
      <vt:lpstr>3) 3 Statement Model --&gt;</vt:lpstr>
      <vt:lpstr>Assumptions</vt:lpstr>
      <vt:lpstr>P&amp;L and BS</vt:lpstr>
      <vt:lpstr>Cash Flow</vt:lpstr>
      <vt:lpstr>4) DCF Model --&gt;</vt:lpstr>
      <vt:lpstr>WACC</vt:lpstr>
      <vt:lpstr>DCF valuation</vt:lpstr>
      <vt:lpstr>DCF results</vt:lpstr>
      <vt:lpstr>5) Comps Model  --&gt;</vt:lpstr>
      <vt:lpstr>Comps Model</vt:lpstr>
      <vt:lpstr>6) Charts  --&gt;</vt:lpstr>
      <vt:lpstr>Revenues&amp;Ebitda</vt:lpstr>
      <vt:lpstr>Cash flows</vt:lpstr>
      <vt:lpstr>Ebitda bridge</vt:lpstr>
      <vt:lpstr>Working 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 Tagibekov</dc:creator>
  <cp:lastModifiedBy>Arsen Tagibekov</cp:lastModifiedBy>
  <dcterms:created xsi:type="dcterms:W3CDTF">2025-06-10T03:41:41Z</dcterms:created>
  <dcterms:modified xsi:type="dcterms:W3CDTF">2025-06-30T17:18:21Z</dcterms:modified>
</cp:coreProperties>
</file>