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Job Hunting/Projects for CV/Investment Analyst/Project Acquisition Valuation/"/>
    </mc:Choice>
  </mc:AlternateContent>
  <xr:revisionPtr revIDLastSave="0" documentId="13_ncr:1_{B4476AFD-CC70-0548-8C72-47A2B4C499B0}" xr6:coauthVersionLast="47" xr6:coauthVersionMax="47" xr10:uidLastSave="{00000000-0000-0000-0000-000000000000}"/>
  <bookViews>
    <workbookView xWindow="740" yWindow="500" windowWidth="28060" windowHeight="16520" activeTab="6" xr2:uid="{C4128471-B269-BA47-8FAA-08CE5ED39FFC}"/>
  </bookViews>
  <sheets>
    <sheet name="Assumptions" sheetId="2" r:id="rId1"/>
    <sheet name="Historical Financials" sheetId="3" r:id="rId2"/>
    <sheet name="Forecast Model" sheetId="4" r:id="rId3"/>
    <sheet name="Valuation" sheetId="5" r:id="rId4"/>
    <sheet name="IRR Model" sheetId="6" r:id="rId5"/>
    <sheet name="Sensitivity Analysis" sheetId="7" r:id="rId6"/>
    <sheet name="Dashboard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7" i="6"/>
  <c r="C7" i="7"/>
  <c r="C5" i="6"/>
  <c r="C6" i="6"/>
  <c r="F13" i="5" s="1"/>
  <c r="C25" i="8" s="1"/>
  <c r="H16" i="8"/>
  <c r="H15" i="8"/>
  <c r="G16" i="8"/>
  <c r="G15" i="8"/>
  <c r="F16" i="8"/>
  <c r="F15" i="8"/>
  <c r="C24" i="8"/>
  <c r="C23" i="8"/>
  <c r="C22" i="8"/>
  <c r="C21" i="8"/>
  <c r="C20" i="8"/>
  <c r="G11" i="8"/>
  <c r="G10" i="8"/>
  <c r="H10" i="8" s="1"/>
  <c r="G9" i="8"/>
  <c r="H9" i="8" s="1"/>
  <c r="G8" i="8"/>
  <c r="H8" i="8" s="1"/>
  <c r="G7" i="8"/>
  <c r="H7" i="8" s="1"/>
  <c r="F11" i="8"/>
  <c r="H11" i="8" s="1"/>
  <c r="F10" i="8"/>
  <c r="F9" i="8"/>
  <c r="F8" i="8"/>
  <c r="F7" i="8"/>
  <c r="D7" i="7"/>
  <c r="E7" i="7"/>
  <c r="F7" i="7"/>
  <c r="G7" i="7"/>
  <c r="G6" i="7"/>
  <c r="F6" i="7"/>
  <c r="E6" i="7"/>
  <c r="D6" i="7"/>
  <c r="C6" i="7"/>
  <c r="C13" i="7"/>
  <c r="D5" i="7"/>
  <c r="E5" i="7"/>
  <c r="F5" i="7"/>
  <c r="G5" i="7"/>
  <c r="C5" i="7"/>
  <c r="C12" i="7"/>
  <c r="C11" i="7"/>
  <c r="H5" i="6"/>
  <c r="F12" i="5"/>
  <c r="F11" i="5"/>
  <c r="F10" i="5"/>
  <c r="C17" i="5"/>
  <c r="C18" i="5"/>
  <c r="C15" i="5"/>
  <c r="G8" i="4"/>
  <c r="C14" i="5"/>
  <c r="C10" i="5"/>
  <c r="C9" i="5"/>
  <c r="C7" i="5"/>
  <c r="C8" i="5" s="1"/>
  <c r="C6" i="5"/>
  <c r="D9" i="4"/>
  <c r="E9" i="4"/>
  <c r="F9" i="4"/>
  <c r="G9" i="4"/>
  <c r="C9" i="4"/>
  <c r="D7" i="4"/>
  <c r="E7" i="4"/>
  <c r="F7" i="4"/>
  <c r="G7" i="4"/>
  <c r="C7" i="4"/>
  <c r="C13" i="4" s="1"/>
  <c r="C5" i="4"/>
  <c r="C10" i="4" s="1"/>
  <c r="C16" i="3"/>
  <c r="C13" i="3"/>
  <c r="C14" i="3"/>
  <c r="C12" i="3"/>
  <c r="C15" i="3"/>
  <c r="C11" i="3"/>
  <c r="C14" i="4" l="1"/>
  <c r="C12" i="4"/>
  <c r="C8" i="4"/>
  <c r="D5" i="4"/>
  <c r="D6" i="4" s="1"/>
  <c r="C6" i="4"/>
  <c r="E5" i="4"/>
  <c r="E10" i="4" s="1"/>
  <c r="D8" i="4" l="1"/>
  <c r="D10" i="4"/>
  <c r="E8" i="4"/>
  <c r="F5" i="4"/>
  <c r="F10" i="4" s="1"/>
  <c r="E6" i="4"/>
  <c r="G5" i="4" l="1"/>
  <c r="F8" i="4"/>
  <c r="F6" i="4"/>
  <c r="C11" i="4" l="1"/>
  <c r="G10" i="4"/>
  <c r="C15" i="4"/>
  <c r="G6" i="4"/>
  <c r="C16" i="4"/>
  <c r="D6" i="3" l="1"/>
  <c r="D10" i="3"/>
  <c r="E10" i="3"/>
  <c r="F10" i="3"/>
  <c r="C10" i="3"/>
  <c r="D8" i="3"/>
  <c r="E8" i="3"/>
  <c r="F8" i="3"/>
  <c r="C8" i="3"/>
  <c r="F6" i="3"/>
  <c r="E6" i="3"/>
</calcChain>
</file>

<file path=xl/sharedStrings.xml><?xml version="1.0" encoding="utf-8"?>
<sst xmlns="http://schemas.openxmlformats.org/spreadsheetml/2006/main" count="178" uniqueCount="116">
  <si>
    <t>Year</t>
  </si>
  <si>
    <t>Revenue (USD M)</t>
  </si>
  <si>
    <t>EBITDA (USD M)</t>
  </si>
  <si>
    <t>*US $1.00 = AED 3.673</t>
  </si>
  <si>
    <t>Historical Financials</t>
  </si>
  <si>
    <t>2021</t>
  </si>
  <si>
    <t>2022</t>
  </si>
  <si>
    <t>2023</t>
  </si>
  <si>
    <t>2024</t>
  </si>
  <si>
    <t>Revenue (million USD)</t>
  </si>
  <si>
    <t>EBITDA (million USD)</t>
  </si>
  <si>
    <t>EBITDA Margin (%)</t>
  </si>
  <si>
    <t>Net Income (million USD)</t>
  </si>
  <si>
    <t>Forecast Model</t>
  </si>
  <si>
    <t>2025</t>
  </si>
  <si>
    <t>2026</t>
  </si>
  <si>
    <t>2027</t>
  </si>
  <si>
    <t>2028</t>
  </si>
  <si>
    <t>2029</t>
  </si>
  <si>
    <t>Valuation</t>
  </si>
  <si>
    <t>IRR Model</t>
  </si>
  <si>
    <t>Sensitivity Analysis</t>
  </si>
  <si>
    <t>Dashboard</t>
  </si>
  <si>
    <t>Assumptions</t>
  </si>
  <si>
    <t>General Settings</t>
  </si>
  <si>
    <t>Item</t>
  </si>
  <si>
    <t>Value</t>
  </si>
  <si>
    <t>Currency</t>
  </si>
  <si>
    <t>USD</t>
  </si>
  <si>
    <t>Entry Year</t>
  </si>
  <si>
    <t>Forecast Years</t>
  </si>
  <si>
    <t>2025-2029</t>
  </si>
  <si>
    <t xml:space="preserve">Holding Period </t>
  </si>
  <si>
    <t>5 years</t>
  </si>
  <si>
    <t>Historical Revenue &amp; EBITDA</t>
  </si>
  <si>
    <t>Forecast Assumptions</t>
  </si>
  <si>
    <t>Revenue Growth (%)</t>
  </si>
  <si>
    <t>Deal Assumptions</t>
  </si>
  <si>
    <t>Entry EBITDA (2024)</t>
  </si>
  <si>
    <t>Entry Multiple (x)</t>
  </si>
  <si>
    <t>Ownership %</t>
  </si>
  <si>
    <t>Exit Multiple (x)</t>
  </si>
  <si>
    <t>Exit EV</t>
  </si>
  <si>
    <t>Entry EV (million USD)</t>
  </si>
  <si>
    <t>Equity Investment (million USD)</t>
  </si>
  <si>
    <t>Target Exit EBITDA (million USD)</t>
  </si>
  <si>
    <t>Exit EV (million USD)</t>
  </si>
  <si>
    <t>Exit Equity Value (million USD)</t>
  </si>
  <si>
    <t>Tax &amp; Discount</t>
  </si>
  <si>
    <t>Corporate Tax Rate</t>
  </si>
  <si>
    <t>Discount Rate (for DCF)</t>
  </si>
  <si>
    <t>YoY Growth (%)</t>
  </si>
  <si>
    <t>-</t>
  </si>
  <si>
    <t>Net Margin (%)</t>
  </si>
  <si>
    <t>Cumulative Revenue (million USD)</t>
  </si>
  <si>
    <t>Average EBITDA Margin</t>
  </si>
  <si>
    <t>Revenue CAGR (2021-2024)</t>
  </si>
  <si>
    <t>EBITDA CAGR (2021-2024)</t>
  </si>
  <si>
    <t>Average Net Margin</t>
  </si>
  <si>
    <t>Cumulative EBITDA (million USD)</t>
  </si>
  <si>
    <t>Net Income Margin (%)</t>
  </si>
  <si>
    <t>Revenue CAGR (2025-2029)</t>
  </si>
  <si>
    <t>EBITDA CAGR (2025-2029)</t>
  </si>
  <si>
    <t>Metric</t>
  </si>
  <si>
    <t>Entry Valuation</t>
  </si>
  <si>
    <t>2024 EBITDA</t>
  </si>
  <si>
    <t>Entry Multiple</t>
  </si>
  <si>
    <t>Ownership Acquired</t>
  </si>
  <si>
    <t>Ownership Acquired (%)</t>
  </si>
  <si>
    <t>2029 Forecast EBITDA</t>
  </si>
  <si>
    <t>Exit Multiple</t>
  </si>
  <si>
    <t>Ownership Retained (%)</t>
  </si>
  <si>
    <t>Equity Value at Exit (million USD)</t>
  </si>
  <si>
    <t>Exit Valuation (2029)</t>
  </si>
  <si>
    <t>Summary Table</t>
  </si>
  <si>
    <t>Gross MOIC</t>
  </si>
  <si>
    <t>IRR</t>
  </si>
  <si>
    <t>Equity Invested (2024) (million USD)</t>
  </si>
  <si>
    <t>Equity Value at Exit (2029) (million USD)</t>
  </si>
  <si>
    <t>Investor Cash Flow (million USD)</t>
  </si>
  <si>
    <t>No interim distributions are assumed (that's why there are zeros in 2025-2028), it can be adjusted if dividends or exit prepayments are added</t>
  </si>
  <si>
    <t>IRR (%)</t>
  </si>
  <si>
    <t>MOIC (x)</t>
  </si>
  <si>
    <t>IRR (Internal Rate of Return) (%)</t>
  </si>
  <si>
    <t>MOIC (Multiple on Invested Capital)</t>
  </si>
  <si>
    <t>6.0x</t>
  </si>
  <si>
    <t>7.0x</t>
  </si>
  <si>
    <t>Assumption</t>
  </si>
  <si>
    <t>EBITDA at Exit</t>
  </si>
  <si>
    <t>Initial Equity Investment</t>
  </si>
  <si>
    <t>Exit Multiple (x)  →</t>
  </si>
  <si>
    <t>MOIC</t>
  </si>
  <si>
    <t>Section 1: Deal Overview</t>
  </si>
  <si>
    <t>Attribute</t>
  </si>
  <si>
    <t>Detail</t>
  </si>
  <si>
    <t>Target Company</t>
  </si>
  <si>
    <t>Industry</t>
  </si>
  <si>
    <t>Holding Period</t>
  </si>
  <si>
    <t>Equity Invested</t>
  </si>
  <si>
    <t>Dubai Urban Services Co. (DUSC)</t>
  </si>
  <si>
    <t>Real Estate Services / Facility Management</t>
  </si>
  <si>
    <t>5 years (2025-2029)</t>
  </si>
  <si>
    <t>$5.2M</t>
  </si>
  <si>
    <t>$26.0M</t>
  </si>
  <si>
    <t>5.0x</t>
  </si>
  <si>
    <t>$20.8M</t>
  </si>
  <si>
    <t>Section 2: Financial Forecast Summary</t>
  </si>
  <si>
    <t>EBITDA Margin</t>
  </si>
  <si>
    <t>Section 3: Valuation &amp; Returns</t>
  </si>
  <si>
    <t>Exit EBITDA (2029)</t>
  </si>
  <si>
    <t>Equity at Exit</t>
  </si>
  <si>
    <t>6.5x (Base)</t>
  </si>
  <si>
    <t>Equity Value: Entry vs. Exit (USD M)</t>
  </si>
  <si>
    <t>Entry Equity Value (2024)</t>
  </si>
  <si>
    <t>Exit Equity Value (2029)</t>
  </si>
  <si>
    <t>Section 4: Valuation &amp;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</si>
</sst>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_);_(* \(#,##0.0\);_(* &quot;-&quot;?_);@_)"/>
    <numFmt numFmtId="165" formatCode="0.0%"/>
    <numFmt numFmtId="166" formatCode="_(* #,##0.0_);_(* \(#,##0.0\);_(* &quot;-&quot;?_);@_l"/>
    <numFmt numFmtId="167" formatCode="_(* #,##0.000_);_(* \(#,##0.000\);_(* &quot;-&quot;?_);@_)"/>
    <numFmt numFmtId="168" formatCode="[$$-409]#,##0.0"/>
    <numFmt numFmtId="169" formatCode="0.0"/>
    <numFmt numFmtId="170" formatCode="#.#\x"/>
    <numFmt numFmtId="171" formatCode="_-* #,##0.0\ _€_-;\-* #,##0.0\ _€_-;_-* &quot;-&quot;?\ _€_-;_-@_-"/>
    <numFmt numFmtId="172" formatCode="#.##\x"/>
    <numFmt numFmtId="173" formatCode="#.0\x"/>
  </numFmts>
  <fonts count="7" x14ac:knownFonts="1"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1" fillId="2" borderId="0" xfId="0" applyNumberFormat="1" applyFont="1" applyFill="1"/>
    <xf numFmtId="164" fontId="3" fillId="2" borderId="1" xfId="0" applyNumberFormat="1" applyFont="1" applyFill="1" applyBorder="1"/>
    <xf numFmtId="49" fontId="3" fillId="2" borderId="1" xfId="0" applyNumberFormat="1" applyFont="1" applyFill="1" applyBorder="1" applyAlignment="1">
      <alignment horizontal="right" wrapText="1"/>
    </xf>
    <xf numFmtId="10" fontId="1" fillId="2" borderId="0" xfId="0" applyNumberFormat="1" applyFont="1" applyFill="1"/>
    <xf numFmtId="165" fontId="1" fillId="2" borderId="0" xfId="0" applyNumberFormat="1" applyFont="1" applyFill="1"/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/>
    </xf>
    <xf numFmtId="164" fontId="3" fillId="2" borderId="3" xfId="0" applyNumberFormat="1" applyFont="1" applyFill="1" applyBorder="1"/>
    <xf numFmtId="166" fontId="3" fillId="2" borderId="0" xfId="0" applyNumberFormat="1" applyFont="1" applyFill="1"/>
    <xf numFmtId="10" fontId="3" fillId="2" borderId="3" xfId="0" applyNumberFormat="1" applyFont="1" applyFill="1" applyBorder="1"/>
    <xf numFmtId="167" fontId="3" fillId="2" borderId="3" xfId="0" applyNumberFormat="1" applyFont="1" applyFill="1" applyBorder="1"/>
    <xf numFmtId="10" fontId="3" fillId="2" borderId="0" xfId="0" applyNumberFormat="1" applyFont="1" applyFill="1"/>
    <xf numFmtId="168" fontId="3" fillId="2" borderId="0" xfId="0" applyNumberFormat="1" applyFont="1" applyFill="1"/>
    <xf numFmtId="2" fontId="1" fillId="2" borderId="0" xfId="0" applyNumberFormat="1" applyFont="1" applyFill="1"/>
    <xf numFmtId="169" fontId="1" fillId="2" borderId="0" xfId="0" applyNumberFormat="1" applyFont="1" applyFill="1"/>
    <xf numFmtId="0" fontId="5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8" fontId="1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0" fontId="1" fillId="2" borderId="2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/>
    <xf numFmtId="169" fontId="1" fillId="2" borderId="2" xfId="0" applyNumberFormat="1" applyFont="1" applyFill="1" applyBorder="1" applyAlignment="1">
      <alignment horizontal="center" vertical="center"/>
    </xf>
    <xf numFmtId="171" fontId="1" fillId="2" borderId="0" xfId="0" applyNumberFormat="1" applyFont="1" applyFill="1"/>
    <xf numFmtId="172" fontId="3" fillId="2" borderId="0" xfId="0" applyNumberFormat="1" applyFont="1" applyFill="1"/>
    <xf numFmtId="173" fontId="3" fillId="2" borderId="0" xfId="0" applyNumberFormat="1" applyFont="1" applyFill="1" applyAlignment="1">
      <alignment horizontal="right" wrapText="1"/>
    </xf>
    <xf numFmtId="9" fontId="1" fillId="2" borderId="0" xfId="0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72" fontId="1" fillId="2" borderId="2" xfId="0" applyNumberFormat="1" applyFont="1" applyFill="1" applyBorder="1" applyAlignment="1">
      <alignment horizontal="center" vertical="center"/>
    </xf>
    <xf numFmtId="172" fontId="1" fillId="2" borderId="0" xfId="0" applyNumberFormat="1" applyFont="1" applyFill="1"/>
    <xf numFmtId="172" fontId="1" fillId="2" borderId="2" xfId="0" applyNumberFormat="1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right" wrapText="1"/>
    </xf>
    <xf numFmtId="173" fontId="3" fillId="2" borderId="1" xfId="0" applyNumberFormat="1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206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u="none" strike="noStrike" kern="1200" baseline="0">
                <a:solidFill>
                  <a:srgbClr val="00206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Exit Equity Value (USD M) and </a:t>
            </a:r>
            <a:r>
              <a:rPr lang="en-US" sz="1800">
                <a:solidFill>
                  <a:srgbClr val="00206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IRR (%)</a:t>
            </a:r>
            <a:r>
              <a:rPr lang="en-US" sz="1800" baseline="0">
                <a:solidFill>
                  <a:srgbClr val="00206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>
                <a:solidFill>
                  <a:srgbClr val="00206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by Exit Multiple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'Sensitivity Analysis'!$B$5</c:f>
              <c:strCache>
                <c:ptCount val="1"/>
                <c:pt idx="0">
                  <c:v>Exit Equity Value (million USD)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53A-1D42-8294-3E1710686C1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53A-1D42-8294-3E1710686C1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53A-1D42-8294-3E1710686C1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53A-1D42-8294-3E1710686C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'Sensitivity Analysis'!$C$4:$G$4</c:f>
              <c:numCache>
                <c:formatCode>#.#\x</c:formatCode>
                <c:ptCount val="5"/>
                <c:pt idx="0" formatCode="#.0\x">
                  <c:v>6</c:v>
                </c:pt>
                <c:pt idx="1">
                  <c:v>6.5</c:v>
                </c:pt>
                <c:pt idx="2" formatCode="#.0\x">
                  <c:v>7</c:v>
                </c:pt>
                <c:pt idx="3">
                  <c:v>7.5</c:v>
                </c:pt>
                <c:pt idx="4" formatCode="#.0\x">
                  <c:v>8</c:v>
                </c:pt>
              </c:numCache>
            </c:numRef>
          </c:cat>
          <c:val>
            <c:numRef>
              <c:f>'Sensitivity Analysis'!$C$5:$G$5</c:f>
              <c:numCache>
                <c:formatCode>_(* #,##0.0_);_(* \(#,##0.0\);_(* "-"?_);@_l</c:formatCode>
                <c:ptCount val="5"/>
                <c:pt idx="0">
                  <c:v>39.403287041731211</c:v>
                </c:pt>
                <c:pt idx="1">
                  <c:v>42.686894295208816</c:v>
                </c:pt>
                <c:pt idx="2">
                  <c:v>45.970501548686414</c:v>
                </c:pt>
                <c:pt idx="3">
                  <c:v>49.254108802164012</c:v>
                </c:pt>
                <c:pt idx="4">
                  <c:v>52.537716055641617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B-5848-AAEF-695EE24878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06419056"/>
        <c:axId val="706420768"/>
      </c:barChart>
      <c:lineChart>
        <c:grouping val="standard"/>
        <c:varyColors val="0"/>
        <c:ser>
          <c:idx val="2"/>
          <c:order val="1"/>
          <c:tx>
            <c:strRef>
              <c:f>'Sensitivity Analysis'!$B$6</c:f>
              <c:strCache>
                <c:ptCount val="1"/>
                <c:pt idx="0">
                  <c:v>IRR (%)</c:v>
                </c:pt>
              </c:strCache>
            </c:strRef>
          </c:tx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'Sensitivity Analysis'!$C$6:$G$6</c:f>
              <c:numCache>
                <c:formatCode>0.00%</c:formatCode>
                <c:ptCount val="5"/>
                <c:pt idx="0">
                  <c:v>0.13628317831374415</c:v>
                </c:pt>
                <c:pt idx="1">
                  <c:v>0.15470994978072028</c:v>
                </c:pt>
                <c:pt idx="2">
                  <c:v>0.17203046161432356</c:v>
                </c:pt>
                <c:pt idx="3">
                  <c:v>0.18838378351555507</c:v>
                </c:pt>
                <c:pt idx="4">
                  <c:v>0.20342545551739422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A-1D42-8294-3E171068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55519"/>
        <c:axId val="1837428191"/>
      </c:lineChart>
      <c:catAx>
        <c:axId val="706419056"/>
        <c:scaling>
          <c:orientation val="minMax"/>
        </c:scaling>
        <c:delete val="0"/>
        <c:axPos val="b"/>
        <c:numFmt formatCode="#.0\x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706420768"/>
        <c:crosses val="autoZero"/>
        <c:auto val="1"/>
        <c:lblAlgn val="ctr"/>
        <c:lblOffset val="100"/>
        <c:noMultiLvlLbl val="0"/>
      </c:catAx>
      <c:valAx>
        <c:axId val="7064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@_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706419056"/>
        <c:crosses val="autoZero"/>
        <c:crossBetween val="between"/>
      </c:valAx>
      <c:valAx>
        <c:axId val="183742819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1837755519"/>
        <c:crosses val="max"/>
        <c:crossBetween val="between"/>
      </c:valAx>
      <c:catAx>
        <c:axId val="183775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37428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Revenue vs. EBITDA (2025-2029)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Dashboard!$F$6</c:f>
              <c:strCache>
                <c:ptCount val="1"/>
                <c:pt idx="0">
                  <c:v>Revenue (USD 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Dashboard!$E$7:$E$11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Dashboard!$F$7:$F$11</c:f>
              <c:numCache>
                <c:formatCode>0.00</c:formatCode>
                <c:ptCount val="5"/>
                <c:pt idx="0">
                  <c:v>23.005000000000003</c:v>
                </c:pt>
                <c:pt idx="1">
                  <c:v>24.500325</c:v>
                </c:pt>
                <c:pt idx="2">
                  <c:v>26.092846124999998</c:v>
                </c:pt>
                <c:pt idx="3">
                  <c:v>27.6584168925</c:v>
                </c:pt>
                <c:pt idx="4">
                  <c:v>29.317921906050003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9-8541-AA48-6F61F9C587B1}"/>
            </c:ext>
          </c:extLst>
        </c:ser>
        <c:ser>
          <c:idx val="1"/>
          <c:order val="1"/>
          <c:tx>
            <c:strRef>
              <c:f>Dashboard!$G$6</c:f>
              <c:strCache>
                <c:ptCount val="1"/>
                <c:pt idx="0">
                  <c:v>EBITDA (USD 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Dashboard!$E$7:$E$11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Dashboard!$G$7:$G$11</c:f>
              <c:numCache>
                <c:formatCode>0.00</c:formatCode>
                <c:ptCount val="5"/>
                <c:pt idx="0">
                  <c:v>5.7512500000000006</c:v>
                </c:pt>
                <c:pt idx="1">
                  <c:v>6.3700844999999999</c:v>
                </c:pt>
                <c:pt idx="2">
                  <c:v>7.0450684537499999</c:v>
                </c:pt>
                <c:pt idx="3">
                  <c:v>7.6060646454375007</c:v>
                </c:pt>
                <c:pt idx="4">
                  <c:v>8.209018133694002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9-8541-AA48-6F61F9C587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2347791"/>
        <c:axId val="1837439679"/>
      </c:barChart>
      <c:catAx>
        <c:axId val="902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37439679"/>
        <c:crosses val="autoZero"/>
        <c:auto val="1"/>
        <c:lblAlgn val="ctr"/>
        <c:lblOffset val="100"/>
        <c:noMultiLvlLbl val="0"/>
      </c:catAx>
      <c:valAx>
        <c:axId val="18374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902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206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Dashboard!$J$5</c:f>
              <c:strCache>
                <c:ptCount val="1"/>
                <c:pt idx="0">
                  <c:v>Equity Value: Entry vs. Exit (USD M)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Dashboard!$J$6:$J$7</c:f>
              <c:strCache>
                <c:ptCount val="2"/>
                <c:pt idx="0">
                  <c:v>Entry Equity Value (2024)</c:v>
                </c:pt>
                <c:pt idx="1">
                  <c:v>Exit Equity Value (2029)</c:v>
                </c:pt>
              </c:strCache>
            </c:strRef>
          </c:cat>
          <c:val>
            <c:numRef>
              <c:f>Dashboard!$K$6:$K$7</c:f>
              <c:numCache>
                <c:formatCode>[$$-409]#,##0.0</c:formatCode>
                <c:ptCount val="2"/>
                <c:pt idx="0">
                  <c:v>20.8</c:v>
                </c:pt>
                <c:pt idx="1">
                  <c:v>42.69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C-FA48-BC0B-10FABD12E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141679"/>
        <c:axId val="1837582703"/>
      </c:barChart>
      <c:catAx>
        <c:axId val="18381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1837582703"/>
        <c:crosses val="autoZero"/>
        <c:auto val="1"/>
        <c:lblAlgn val="ctr"/>
        <c:lblOffset val="100"/>
        <c:noMultiLvlLbl val="0"/>
      </c:catAx>
      <c:valAx>
        <c:axId val="18375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DE"/>
          </a:p>
        </c:txPr>
        <c:crossAx val="183814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120650</xdr:rowOff>
    </xdr:from>
    <xdr:to>
      <xdr:col>9</xdr:col>
      <xdr:colOff>431800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5D362-A9B5-A9DD-88AA-E87D40E7A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81241</xdr:colOff>
      <xdr:row>16</xdr:row>
      <xdr:rowOff>112058</xdr:rowOff>
    </xdr:from>
    <xdr:to>
      <xdr:col>7</xdr:col>
      <xdr:colOff>859118</xdr:colOff>
      <xdr:row>34</xdr:row>
      <xdr:rowOff>130734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E6B77-8AF0-BFFA-B281-B25CF0CE3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18677</xdr:colOff>
      <xdr:row>25</xdr:row>
      <xdr:rowOff>149410</xdr:rowOff>
    </xdr:from>
    <xdr:to>
      <xdr:col>3</xdr:col>
      <xdr:colOff>8218</xdr:colOff>
      <xdr:row>32</xdr:row>
      <xdr:rowOff>93381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CE27BB-A97D-F5BD-AB82-AA9BFDC2CAE5}"/>
            </a:ext>
          </a:extLst>
        </xdr:cNvPr>
        <xdr:cNvSpPr txBox="1"/>
      </xdr:nvSpPr>
      <xdr:spPr>
        <a:xfrm>
          <a:off x="438898" y="3940734"/>
          <a:ext cx="2604246" cy="989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DUSC presents a compelling mid-market growth opportunity with a base-case IRR of 15.5%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and significant upside under modest exit multiple expansion.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109258</xdr:colOff>
      <xdr:row>7</xdr:row>
      <xdr:rowOff>65367</xdr:rowOff>
    </xdr:from>
    <xdr:to>
      <xdr:col>12</xdr:col>
      <xdr:colOff>270809</xdr:colOff>
      <xdr:row>25</xdr:row>
      <xdr:rowOff>134283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DCB497-F750-EE6B-253E-430C9ADA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B71B-B423-6945-B61E-46C490632AB6}">
  <dimension ref="B1:G30"/>
  <sheetViews>
    <sheetView zoomScale="114" workbookViewId="0">
      <selection activeCell="F5" sqref="F5"/>
    </sheetView>
  </sheetViews>
  <sheetFormatPr baseColWidth="10" defaultRowHeight="12" x14ac:dyDescent="0.15"/>
  <cols>
    <col min="1" max="1" width="2.1640625" style="1" customWidth="1"/>
    <col min="2" max="2" width="23.1640625" style="1" bestFit="1" customWidth="1"/>
    <col min="3" max="16384" width="10.83203125" style="1"/>
  </cols>
  <sheetData>
    <row r="1" spans="2:7" ht="16" x14ac:dyDescent="0.2">
      <c r="B1" s="2" t="s">
        <v>23</v>
      </c>
      <c r="C1" s="45" t="s">
        <v>24</v>
      </c>
      <c r="D1" s="45"/>
    </row>
    <row r="2" spans="2:7" x14ac:dyDescent="0.15">
      <c r="B2" s="3" t="s">
        <v>3</v>
      </c>
      <c r="C2" s="8" t="s">
        <v>25</v>
      </c>
      <c r="D2" s="8" t="s">
        <v>26</v>
      </c>
    </row>
    <row r="3" spans="2:7" x14ac:dyDescent="0.15">
      <c r="C3" s="9" t="s">
        <v>27</v>
      </c>
      <c r="D3" s="9" t="s">
        <v>28</v>
      </c>
    </row>
    <row r="4" spans="2:7" x14ac:dyDescent="0.15">
      <c r="C4" s="9" t="s">
        <v>29</v>
      </c>
      <c r="D4" s="9">
        <v>2024</v>
      </c>
    </row>
    <row r="5" spans="2:7" x14ac:dyDescent="0.15">
      <c r="C5" s="9" t="s">
        <v>30</v>
      </c>
      <c r="D5" s="9" t="s">
        <v>31</v>
      </c>
    </row>
    <row r="6" spans="2:7" x14ac:dyDescent="0.15">
      <c r="C6" s="9" t="s">
        <v>32</v>
      </c>
      <c r="D6" s="9" t="s">
        <v>33</v>
      </c>
    </row>
    <row r="8" spans="2:7" ht="13" x14ac:dyDescent="0.15">
      <c r="B8" s="47" t="s">
        <v>34</v>
      </c>
      <c r="C8" s="47"/>
      <c r="D8" s="47"/>
      <c r="E8" s="47"/>
      <c r="F8" s="47"/>
    </row>
    <row r="9" spans="2:7" ht="13" x14ac:dyDescent="0.15">
      <c r="B9" s="11" t="s">
        <v>0</v>
      </c>
      <c r="C9" s="12" t="s">
        <v>5</v>
      </c>
      <c r="D9" s="12" t="s">
        <v>6</v>
      </c>
      <c r="E9" s="12" t="s">
        <v>7</v>
      </c>
      <c r="F9" s="12" t="s">
        <v>8</v>
      </c>
    </row>
    <row r="10" spans="2:7" x14ac:dyDescent="0.15">
      <c r="B10" s="9" t="s">
        <v>9</v>
      </c>
      <c r="C10" s="9">
        <v>15.2</v>
      </c>
      <c r="D10" s="9">
        <v>17.399999999999999</v>
      </c>
      <c r="E10" s="9">
        <v>19.3</v>
      </c>
      <c r="F10" s="9">
        <v>21.5</v>
      </c>
    </row>
    <row r="11" spans="2:7" x14ac:dyDescent="0.15">
      <c r="B11" s="9" t="s">
        <v>10</v>
      </c>
      <c r="C11" s="9">
        <v>3.2</v>
      </c>
      <c r="D11" s="9">
        <v>4</v>
      </c>
      <c r="E11" s="9">
        <v>4.5999999999999996</v>
      </c>
      <c r="F11" s="9">
        <v>5.2</v>
      </c>
    </row>
    <row r="12" spans="2:7" x14ac:dyDescent="0.15">
      <c r="B12" s="9" t="s">
        <v>11</v>
      </c>
      <c r="C12" s="14">
        <v>0.21099999999999999</v>
      </c>
      <c r="D12" s="14">
        <v>0.23</v>
      </c>
      <c r="E12" s="14">
        <v>0.23799999999999999</v>
      </c>
      <c r="F12" s="14">
        <v>0.24199999999999999</v>
      </c>
    </row>
    <row r="14" spans="2:7" ht="13" x14ac:dyDescent="0.15">
      <c r="B14" s="47" t="s">
        <v>35</v>
      </c>
      <c r="C14" s="47"/>
      <c r="D14" s="47"/>
      <c r="E14" s="47"/>
      <c r="F14" s="47"/>
      <c r="G14" s="9"/>
    </row>
    <row r="15" spans="2:7" ht="13" x14ac:dyDescent="0.15">
      <c r="B15" s="11" t="s">
        <v>0</v>
      </c>
      <c r="C15" s="12" t="s">
        <v>14</v>
      </c>
      <c r="D15" s="12" t="s">
        <v>15</v>
      </c>
      <c r="E15" s="12" t="s">
        <v>16</v>
      </c>
      <c r="F15" s="12" t="s">
        <v>17</v>
      </c>
      <c r="G15" s="12" t="s">
        <v>18</v>
      </c>
    </row>
    <row r="16" spans="2:7" x14ac:dyDescent="0.15">
      <c r="B16" s="9" t="s">
        <v>36</v>
      </c>
      <c r="C16" s="14">
        <v>7.0000000000000007E-2</v>
      </c>
      <c r="D16" s="14">
        <v>6.5000000000000002E-2</v>
      </c>
      <c r="E16" s="14">
        <v>6.5000000000000002E-2</v>
      </c>
      <c r="F16" s="14">
        <v>0.06</v>
      </c>
      <c r="G16" s="14">
        <v>0.06</v>
      </c>
    </row>
    <row r="17" spans="2:7" x14ac:dyDescent="0.15">
      <c r="B17" s="9" t="s">
        <v>11</v>
      </c>
      <c r="C17" s="14">
        <v>0.25</v>
      </c>
      <c r="D17" s="14">
        <v>0.26</v>
      </c>
      <c r="E17" s="14">
        <v>0.27</v>
      </c>
      <c r="F17" s="14">
        <v>0.27500000000000002</v>
      </c>
      <c r="G17" s="14">
        <v>0.28000000000000003</v>
      </c>
    </row>
    <row r="18" spans="2:7" x14ac:dyDescent="0.15">
      <c r="B18" s="9" t="s">
        <v>60</v>
      </c>
      <c r="C18" s="14">
        <v>0.14000000000000001</v>
      </c>
      <c r="D18" s="14">
        <v>0.14199999999999999</v>
      </c>
      <c r="E18" s="14">
        <v>0.14499999999999999</v>
      </c>
      <c r="F18" s="14">
        <v>0.14799999999999999</v>
      </c>
      <c r="G18" s="14">
        <v>0.15</v>
      </c>
    </row>
    <row r="20" spans="2:7" x14ac:dyDescent="0.15">
      <c r="B20" s="45" t="s">
        <v>37</v>
      </c>
      <c r="C20" s="45"/>
      <c r="E20" s="45" t="s">
        <v>48</v>
      </c>
      <c r="F20" s="45"/>
      <c r="G20" s="45"/>
    </row>
    <row r="21" spans="2:7" x14ac:dyDescent="0.15">
      <c r="B21" s="8" t="s">
        <v>25</v>
      </c>
      <c r="C21" s="8" t="s">
        <v>26</v>
      </c>
      <c r="E21" s="45" t="s">
        <v>25</v>
      </c>
      <c r="F21" s="45"/>
      <c r="G21" s="8" t="s">
        <v>26</v>
      </c>
    </row>
    <row r="22" spans="2:7" x14ac:dyDescent="0.15">
      <c r="B22" s="9" t="s">
        <v>38</v>
      </c>
      <c r="C22" s="9">
        <v>5.2</v>
      </c>
      <c r="E22" s="46" t="s">
        <v>49</v>
      </c>
      <c r="F22" s="46"/>
      <c r="G22" s="15">
        <v>0.09</v>
      </c>
    </row>
    <row r="23" spans="2:7" x14ac:dyDescent="0.15">
      <c r="B23" s="9" t="s">
        <v>39</v>
      </c>
      <c r="C23" s="9">
        <v>5</v>
      </c>
      <c r="E23" s="46" t="s">
        <v>50</v>
      </c>
      <c r="F23" s="46"/>
      <c r="G23" s="15">
        <v>0.1</v>
      </c>
    </row>
    <row r="24" spans="2:7" x14ac:dyDescent="0.15">
      <c r="B24" s="9" t="s">
        <v>40</v>
      </c>
      <c r="C24" s="15">
        <v>0.8</v>
      </c>
    </row>
    <row r="25" spans="2:7" x14ac:dyDescent="0.15">
      <c r="B25" s="9" t="s">
        <v>41</v>
      </c>
      <c r="C25" s="10">
        <v>6.5</v>
      </c>
    </row>
    <row r="26" spans="2:7" x14ac:dyDescent="0.15">
      <c r="B26" s="9" t="s">
        <v>45</v>
      </c>
      <c r="C26" s="10">
        <v>8.5</v>
      </c>
    </row>
    <row r="29" spans="2:7" x14ac:dyDescent="0.15">
      <c r="B29" s="26"/>
      <c r="C29" s="26"/>
    </row>
    <row r="30" spans="2:7" x14ac:dyDescent="0.15">
      <c r="B30" s="26"/>
      <c r="C30" s="26"/>
    </row>
  </sheetData>
  <mergeCells count="8">
    <mergeCell ref="E21:F21"/>
    <mergeCell ref="E22:F22"/>
    <mergeCell ref="E23:F23"/>
    <mergeCell ref="C1:D1"/>
    <mergeCell ref="B8:F8"/>
    <mergeCell ref="B14:F14"/>
    <mergeCell ref="B20:C20"/>
    <mergeCell ref="E20:G20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B63B-8FFF-0342-BEA6-00A089B27F2A}">
  <dimension ref="B1:F16"/>
  <sheetViews>
    <sheetView zoomScale="136" workbookViewId="0">
      <selection activeCell="B27" sqref="B27"/>
    </sheetView>
  </sheetViews>
  <sheetFormatPr baseColWidth="10" defaultRowHeight="12" x14ac:dyDescent="0.15"/>
  <cols>
    <col min="1" max="1" width="2.1640625" style="1" customWidth="1"/>
    <col min="2" max="2" width="26.6640625" style="1" bestFit="1" customWidth="1"/>
    <col min="3" max="16384" width="10.83203125" style="1"/>
  </cols>
  <sheetData>
    <row r="1" spans="2:6" ht="16" x14ac:dyDescent="0.2">
      <c r="B1" s="2" t="s">
        <v>4</v>
      </c>
    </row>
    <row r="2" spans="2:6" x14ac:dyDescent="0.15">
      <c r="B2" s="3" t="s">
        <v>3</v>
      </c>
    </row>
    <row r="4" spans="2:6" ht="14" thickBot="1" x14ac:dyDescent="0.2">
      <c r="B4" s="4" t="s">
        <v>0</v>
      </c>
      <c r="C4" s="5" t="s">
        <v>5</v>
      </c>
      <c r="D4" s="5" t="s">
        <v>6</v>
      </c>
      <c r="E4" s="5" t="s">
        <v>7</v>
      </c>
      <c r="F4" s="5" t="s">
        <v>8</v>
      </c>
    </row>
    <row r="5" spans="2:6" x14ac:dyDescent="0.15">
      <c r="B5" s="1" t="s">
        <v>9</v>
      </c>
      <c r="C5" s="1">
        <v>15.2</v>
      </c>
      <c r="D5" s="1">
        <v>17.399999999999999</v>
      </c>
      <c r="E5" s="1">
        <v>19.3</v>
      </c>
      <c r="F5" s="1">
        <v>21.5</v>
      </c>
    </row>
    <row r="6" spans="2:6" x14ac:dyDescent="0.15">
      <c r="B6" s="1" t="s">
        <v>51</v>
      </c>
      <c r="C6" s="16" t="s">
        <v>52</v>
      </c>
      <c r="D6" s="6">
        <f>(D5-C5)/C5</f>
        <v>0.14473684210526311</v>
      </c>
      <c r="E6" s="6">
        <f>(E5-D5)/D5</f>
        <v>0.10919540229885071</v>
      </c>
      <c r="F6" s="6">
        <f>(F5-E5)/E5</f>
        <v>0.11398963730569944</v>
      </c>
    </row>
    <row r="7" spans="2:6" x14ac:dyDescent="0.15">
      <c r="B7" s="1" t="s">
        <v>10</v>
      </c>
      <c r="C7" s="1">
        <v>3.2</v>
      </c>
      <c r="D7" s="1">
        <v>4</v>
      </c>
      <c r="E7" s="1">
        <v>4.5999999999999996</v>
      </c>
      <c r="F7" s="1">
        <v>5.2</v>
      </c>
    </row>
    <row r="8" spans="2:6" x14ac:dyDescent="0.15">
      <c r="B8" s="1" t="s">
        <v>11</v>
      </c>
      <c r="C8" s="6">
        <f>C7/C5</f>
        <v>0.2105263157894737</v>
      </c>
      <c r="D8" s="6">
        <f t="shared" ref="D8:F8" si="0">D7/D5</f>
        <v>0.22988505747126439</v>
      </c>
      <c r="E8" s="6">
        <f t="shared" si="0"/>
        <v>0.23834196891191708</v>
      </c>
      <c r="F8" s="6">
        <f t="shared" si="0"/>
        <v>0.24186046511627907</v>
      </c>
    </row>
    <row r="9" spans="2:6" x14ac:dyDescent="0.15">
      <c r="B9" s="1" t="s">
        <v>12</v>
      </c>
      <c r="C9" s="1">
        <v>1.7</v>
      </c>
      <c r="D9" s="1">
        <v>2.2000000000000002</v>
      </c>
      <c r="E9" s="1">
        <v>2.6</v>
      </c>
      <c r="F9" s="1">
        <v>2.9</v>
      </c>
    </row>
    <row r="10" spans="2:6" x14ac:dyDescent="0.15">
      <c r="B10" s="1" t="s">
        <v>53</v>
      </c>
      <c r="C10" s="6">
        <f>C9/C5</f>
        <v>0.1118421052631579</v>
      </c>
      <c r="D10" s="6">
        <f t="shared" ref="D10:F10" si="1">D9/D5</f>
        <v>0.12643678160919541</v>
      </c>
      <c r="E10" s="6">
        <f t="shared" si="1"/>
        <v>0.13471502590673576</v>
      </c>
      <c r="F10" s="6">
        <f t="shared" si="1"/>
        <v>0.13488372093023254</v>
      </c>
    </row>
    <row r="11" spans="2:6" x14ac:dyDescent="0.15">
      <c r="B11" s="17" t="s">
        <v>56</v>
      </c>
      <c r="C11" s="19">
        <f>((F5/C5)^(1/3))-1</f>
        <v>0.12253086370344679</v>
      </c>
      <c r="D11" s="20"/>
      <c r="E11" s="17"/>
      <c r="F11" s="17"/>
    </row>
    <row r="12" spans="2:6" x14ac:dyDescent="0.15">
      <c r="B12" s="18" t="s">
        <v>57</v>
      </c>
      <c r="C12" s="21">
        <f>((F7/C7)^(1/3))-1</f>
        <v>0.17566734386037886</v>
      </c>
    </row>
    <row r="13" spans="2:6" x14ac:dyDescent="0.15">
      <c r="B13" s="18" t="s">
        <v>55</v>
      </c>
      <c r="C13" s="21">
        <f>AVERAGE(C8:F8)</f>
        <v>0.23015345182223357</v>
      </c>
    </row>
    <row r="14" spans="2:6" x14ac:dyDescent="0.15">
      <c r="B14" s="18" t="s">
        <v>58</v>
      </c>
      <c r="C14" s="21">
        <f>AVERAGE(C10:F10)</f>
        <v>0.1269694084273304</v>
      </c>
    </row>
    <row r="15" spans="2:6" x14ac:dyDescent="0.15">
      <c r="B15" s="18" t="s">
        <v>54</v>
      </c>
      <c r="C15" s="22">
        <f>SUM(C5:F5)</f>
        <v>73.399999999999991</v>
      </c>
    </row>
    <row r="16" spans="2:6" x14ac:dyDescent="0.15">
      <c r="B16" s="18" t="s">
        <v>59</v>
      </c>
      <c r="C16" s="22">
        <f>SUM(C7:F7)</f>
        <v>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581D-23E7-3C4B-B2B3-A9790772449A}">
  <dimension ref="B1:G16"/>
  <sheetViews>
    <sheetView zoomScale="150" workbookViewId="0">
      <selection activeCell="C7" sqref="C7"/>
    </sheetView>
  </sheetViews>
  <sheetFormatPr baseColWidth="10" defaultRowHeight="12" x14ac:dyDescent="0.15"/>
  <cols>
    <col min="1" max="1" width="2.1640625" style="1" customWidth="1"/>
    <col min="2" max="2" width="27.6640625" style="1" bestFit="1" customWidth="1"/>
    <col min="3" max="6" width="10.83203125" style="1"/>
    <col min="7" max="7" width="9.33203125" style="1" customWidth="1"/>
    <col min="8" max="16384" width="10.83203125" style="1"/>
  </cols>
  <sheetData>
    <row r="1" spans="2:7" ht="16" x14ac:dyDescent="0.2">
      <c r="B1" s="2" t="s">
        <v>13</v>
      </c>
    </row>
    <row r="2" spans="2:7" x14ac:dyDescent="0.15">
      <c r="B2" s="3" t="s">
        <v>3</v>
      </c>
    </row>
    <row r="4" spans="2:7" ht="14" thickBot="1" x14ac:dyDescent="0.2">
      <c r="B4" s="4" t="s">
        <v>0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</row>
    <row r="5" spans="2:7" x14ac:dyDescent="0.15">
      <c r="B5" s="1" t="s">
        <v>9</v>
      </c>
      <c r="C5" s="24">
        <f>'Historical Financials'!F5*(1+Assumptions!C16)</f>
        <v>23.005000000000003</v>
      </c>
      <c r="D5" s="24">
        <f>C$5*(1+Assumptions!D$16)</f>
        <v>24.500325</v>
      </c>
      <c r="E5" s="24">
        <f>D$5*(1+Assumptions!E$16)</f>
        <v>26.092846124999998</v>
      </c>
      <c r="F5" s="24">
        <f>E$5*(1+Assumptions!F$16)</f>
        <v>27.6584168925</v>
      </c>
      <c r="G5" s="24">
        <f>F$5*(1+Assumptions!G$16)</f>
        <v>29.317921906050003</v>
      </c>
    </row>
    <row r="6" spans="2:7" x14ac:dyDescent="0.15">
      <c r="B6" s="1" t="s">
        <v>51</v>
      </c>
      <c r="C6" s="6">
        <f>(C5/'Historical Financials'!F5)-1</f>
        <v>7.0000000000000062E-2</v>
      </c>
      <c r="D6" s="6">
        <f>(D$5/C$5)-1</f>
        <v>6.4999999999999947E-2</v>
      </c>
      <c r="E6" s="6">
        <f>(E$5/D$5)-1</f>
        <v>6.4999999999999947E-2</v>
      </c>
      <c r="F6" s="6">
        <f t="shared" ref="F6:G6" si="0">(F$5/E$5)-1</f>
        <v>6.0000000000000053E-2</v>
      </c>
      <c r="G6" s="6">
        <f t="shared" si="0"/>
        <v>6.0000000000000053E-2</v>
      </c>
    </row>
    <row r="7" spans="2:7" x14ac:dyDescent="0.15">
      <c r="B7" s="1" t="s">
        <v>11</v>
      </c>
      <c r="C7" s="7">
        <f>Assumptions!C$17</f>
        <v>0.25</v>
      </c>
      <c r="D7" s="7">
        <f>Assumptions!D$17</f>
        <v>0.26</v>
      </c>
      <c r="E7" s="7">
        <f>Assumptions!E$17</f>
        <v>0.27</v>
      </c>
      <c r="F7" s="7">
        <f>Assumptions!F$17</f>
        <v>0.27500000000000002</v>
      </c>
      <c r="G7" s="7">
        <f>Assumptions!G$17</f>
        <v>0.28000000000000003</v>
      </c>
    </row>
    <row r="8" spans="2:7" x14ac:dyDescent="0.15">
      <c r="B8" s="1" t="s">
        <v>10</v>
      </c>
      <c r="C8" s="23">
        <f>C$5*C$7</f>
        <v>5.7512500000000006</v>
      </c>
      <c r="D8" s="23">
        <f t="shared" ref="D8:F8" si="1">D$5*D$7</f>
        <v>6.3700844999999999</v>
      </c>
      <c r="E8" s="23">
        <f t="shared" si="1"/>
        <v>7.0450684537499999</v>
      </c>
      <c r="F8" s="23">
        <f t="shared" si="1"/>
        <v>7.6060646454375007</v>
      </c>
      <c r="G8" s="23">
        <f>G$5*G$7</f>
        <v>8.209018133694002</v>
      </c>
    </row>
    <row r="9" spans="2:7" x14ac:dyDescent="0.15">
      <c r="B9" s="1" t="s">
        <v>60</v>
      </c>
      <c r="C9" s="7">
        <f>Assumptions!C$18</f>
        <v>0.14000000000000001</v>
      </c>
      <c r="D9" s="7">
        <f>Assumptions!D$18</f>
        <v>0.14199999999999999</v>
      </c>
      <c r="E9" s="7">
        <f>Assumptions!E$18</f>
        <v>0.14499999999999999</v>
      </c>
      <c r="F9" s="7">
        <f>Assumptions!F$18</f>
        <v>0.14799999999999999</v>
      </c>
      <c r="G9" s="7">
        <f>Assumptions!G$18</f>
        <v>0.15</v>
      </c>
    </row>
    <row r="10" spans="2:7" x14ac:dyDescent="0.15">
      <c r="B10" s="1" t="s">
        <v>12</v>
      </c>
      <c r="C10" s="23">
        <f>C$5*C$9</f>
        <v>3.2207000000000008</v>
      </c>
      <c r="D10" s="23">
        <f t="shared" ref="D10:G10" si="2">D$5*D$9</f>
        <v>3.4790461499999998</v>
      </c>
      <c r="E10" s="23">
        <f t="shared" si="2"/>
        <v>3.7834626881249993</v>
      </c>
      <c r="F10" s="23">
        <f t="shared" si="2"/>
        <v>4.0934457000900002</v>
      </c>
      <c r="G10" s="23">
        <f t="shared" si="2"/>
        <v>4.3976882859074999</v>
      </c>
    </row>
    <row r="11" spans="2:7" x14ac:dyDescent="0.15">
      <c r="B11" s="17" t="s">
        <v>61</v>
      </c>
      <c r="C11" s="19">
        <f>((G5/C5)^(1/4))-1</f>
        <v>6.249705881945844E-2</v>
      </c>
      <c r="D11" s="20"/>
      <c r="E11" s="17"/>
      <c r="F11" s="17"/>
      <c r="G11" s="17"/>
    </row>
    <row r="12" spans="2:7" x14ac:dyDescent="0.15">
      <c r="B12" s="18" t="s">
        <v>62</v>
      </c>
      <c r="C12" s="21">
        <f>((G7/C7)^(1/4))-1</f>
        <v>2.8737344722080227E-2</v>
      </c>
    </row>
    <row r="13" spans="2:7" x14ac:dyDescent="0.15">
      <c r="B13" s="18" t="s">
        <v>55</v>
      </c>
      <c r="C13" s="21">
        <f>AVERAGE(C7:G7)</f>
        <v>0.26700000000000002</v>
      </c>
    </row>
    <row r="14" spans="2:7" x14ac:dyDescent="0.15">
      <c r="B14" s="18" t="s">
        <v>58</v>
      </c>
      <c r="C14" s="21">
        <f>AVERAGE(C9:G9)</f>
        <v>0.14500000000000002</v>
      </c>
    </row>
    <row r="15" spans="2:7" x14ac:dyDescent="0.15">
      <c r="B15" s="18" t="s">
        <v>54</v>
      </c>
      <c r="C15" s="22">
        <f>SUM(C5:G5)</f>
        <v>130.57450992355001</v>
      </c>
    </row>
    <row r="16" spans="2:7" x14ac:dyDescent="0.15">
      <c r="B16" s="18" t="s">
        <v>59</v>
      </c>
      <c r="C16" s="22">
        <f>SUM(C8:G8)</f>
        <v>34.981485732881502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3453-956A-1048-AC8B-E4D94BDEB07B}">
  <dimension ref="B1:F18"/>
  <sheetViews>
    <sheetView zoomScale="125" workbookViewId="0">
      <selection activeCell="C17" sqref="C17"/>
    </sheetView>
  </sheetViews>
  <sheetFormatPr baseColWidth="10" defaultRowHeight="12" x14ac:dyDescent="0.15"/>
  <cols>
    <col min="1" max="1" width="2.1640625" style="1" customWidth="1"/>
    <col min="2" max="2" width="25.6640625" style="1" bestFit="1" customWidth="1"/>
    <col min="3" max="4" width="10.83203125" style="1"/>
    <col min="5" max="5" width="29.33203125" style="1" bestFit="1" customWidth="1"/>
    <col min="6" max="16384" width="10.83203125" style="1"/>
  </cols>
  <sheetData>
    <row r="1" spans="2:6" ht="16" x14ac:dyDescent="0.2">
      <c r="B1" s="2" t="s">
        <v>19</v>
      </c>
    </row>
    <row r="2" spans="2:6" x14ac:dyDescent="0.15">
      <c r="B2" s="3" t="s">
        <v>3</v>
      </c>
    </row>
    <row r="4" spans="2:6" x14ac:dyDescent="0.15">
      <c r="B4" s="48" t="s">
        <v>64</v>
      </c>
      <c r="C4" s="49"/>
    </row>
    <row r="5" spans="2:6" x14ac:dyDescent="0.15">
      <c r="B5" s="8" t="s">
        <v>63</v>
      </c>
      <c r="C5" s="8" t="s">
        <v>26</v>
      </c>
    </row>
    <row r="6" spans="2:6" x14ac:dyDescent="0.15">
      <c r="B6" s="9" t="s">
        <v>65</v>
      </c>
      <c r="C6" s="9">
        <f>'Historical Financials'!F7</f>
        <v>5.2</v>
      </c>
    </row>
    <row r="7" spans="2:6" x14ac:dyDescent="0.15">
      <c r="B7" s="9" t="s">
        <v>39</v>
      </c>
      <c r="C7" s="9">
        <f>Assumptions!C23</f>
        <v>5</v>
      </c>
    </row>
    <row r="8" spans="2:6" x14ac:dyDescent="0.15">
      <c r="B8" s="9" t="s">
        <v>43</v>
      </c>
      <c r="C8" s="28">
        <f>C6*C7</f>
        <v>26</v>
      </c>
      <c r="E8" s="48" t="s">
        <v>74</v>
      </c>
      <c r="F8" s="49"/>
    </row>
    <row r="9" spans="2:6" x14ac:dyDescent="0.15">
      <c r="B9" s="9" t="s">
        <v>68</v>
      </c>
      <c r="C9" s="15">
        <f>Assumptions!C24</f>
        <v>0.8</v>
      </c>
      <c r="E9" s="8" t="s">
        <v>63</v>
      </c>
      <c r="F9" s="8" t="s">
        <v>26</v>
      </c>
    </row>
    <row r="10" spans="2:6" x14ac:dyDescent="0.15">
      <c r="B10" s="25" t="s">
        <v>44</v>
      </c>
      <c r="C10" s="9">
        <f>C8*C9</f>
        <v>20.8</v>
      </c>
      <c r="E10" s="9" t="s">
        <v>77</v>
      </c>
      <c r="F10" s="28">
        <f>C10</f>
        <v>20.8</v>
      </c>
    </row>
    <row r="11" spans="2:6" x14ac:dyDescent="0.15">
      <c r="E11" s="9" t="s">
        <v>78</v>
      </c>
      <c r="F11" s="28">
        <f>C18</f>
        <v>42.686894295208816</v>
      </c>
    </row>
    <row r="12" spans="2:6" x14ac:dyDescent="0.15">
      <c r="B12" s="48" t="s">
        <v>73</v>
      </c>
      <c r="C12" s="49"/>
      <c r="E12" s="9" t="s">
        <v>75</v>
      </c>
      <c r="F12" s="30">
        <f>F11/F10</f>
        <v>2.0522545334235005</v>
      </c>
    </row>
    <row r="13" spans="2:6" x14ac:dyDescent="0.15">
      <c r="B13" s="8" t="s">
        <v>63</v>
      </c>
      <c r="C13" s="8" t="s">
        <v>26</v>
      </c>
      <c r="E13" s="9" t="s">
        <v>76</v>
      </c>
      <c r="F13" s="15">
        <f>'IRR Model'!C6</f>
        <v>0.1546390591672393</v>
      </c>
    </row>
    <row r="14" spans="2:6" x14ac:dyDescent="0.15">
      <c r="B14" s="9" t="s">
        <v>69</v>
      </c>
      <c r="C14" s="27">
        <f>'Forecast Model'!G8</f>
        <v>8.209018133694002</v>
      </c>
      <c r="E14" s="29"/>
      <c r="F14" s="26"/>
    </row>
    <row r="15" spans="2:6" x14ac:dyDescent="0.15">
      <c r="B15" s="9" t="s">
        <v>41</v>
      </c>
      <c r="C15" s="9">
        <f>Assumptions!C25</f>
        <v>6.5</v>
      </c>
    </row>
    <row r="16" spans="2:6" x14ac:dyDescent="0.15">
      <c r="B16" s="9" t="s">
        <v>46</v>
      </c>
      <c r="C16" s="28">
        <f>C14*C15</f>
        <v>53.358617869011013</v>
      </c>
    </row>
    <row r="17" spans="2:3" x14ac:dyDescent="0.15">
      <c r="B17" s="9" t="s">
        <v>71</v>
      </c>
      <c r="C17" s="15">
        <f>Assumptions!C24</f>
        <v>0.8</v>
      </c>
    </row>
    <row r="18" spans="2:3" x14ac:dyDescent="0.15">
      <c r="B18" s="25" t="s">
        <v>72</v>
      </c>
      <c r="C18" s="32">
        <f>C16*C17</f>
        <v>42.686894295208816</v>
      </c>
    </row>
  </sheetData>
  <mergeCells count="3">
    <mergeCell ref="B4:C4"/>
    <mergeCell ref="B12:C12"/>
    <mergeCell ref="E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553B-2275-EC4F-AA58-2F90137D64B8}">
  <dimension ref="B1:H9"/>
  <sheetViews>
    <sheetView zoomScale="125" workbookViewId="0">
      <selection activeCell="C8" sqref="C8"/>
    </sheetView>
  </sheetViews>
  <sheetFormatPr baseColWidth="10" defaultRowHeight="12" x14ac:dyDescent="0.15"/>
  <cols>
    <col min="1" max="1" width="2.1640625" style="1" customWidth="1"/>
    <col min="2" max="2" width="31" style="1" bestFit="1" customWidth="1"/>
    <col min="3" max="16384" width="10.83203125" style="1"/>
  </cols>
  <sheetData>
    <row r="1" spans="2:8" ht="16" x14ac:dyDescent="0.2">
      <c r="B1" s="2" t="s">
        <v>20</v>
      </c>
      <c r="C1" s="1" t="s">
        <v>80</v>
      </c>
    </row>
    <row r="2" spans="2:8" x14ac:dyDescent="0.15">
      <c r="B2" s="3" t="s">
        <v>3</v>
      </c>
    </row>
    <row r="4" spans="2:8" ht="14" thickBot="1" x14ac:dyDescent="0.2">
      <c r="B4" s="4" t="s">
        <v>0</v>
      </c>
      <c r="C4" s="5" t="s">
        <v>8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</row>
    <row r="5" spans="2:8" x14ac:dyDescent="0.15">
      <c r="B5" s="1" t="s">
        <v>79</v>
      </c>
      <c r="C5" s="31">
        <f>-Valuation!C10</f>
        <v>-20.8</v>
      </c>
      <c r="D5" s="31">
        <v>0</v>
      </c>
      <c r="E5" s="31">
        <v>0</v>
      </c>
      <c r="F5" s="31">
        <v>0</v>
      </c>
      <c r="G5" s="31">
        <v>0</v>
      </c>
      <c r="H5" s="31">
        <f>Valuation!C18</f>
        <v>42.686894295208816</v>
      </c>
    </row>
    <row r="6" spans="2:8" x14ac:dyDescent="0.15">
      <c r="B6" s="17" t="s">
        <v>83</v>
      </c>
      <c r="C6" s="19">
        <f>IRR(C5:H5)</f>
        <v>0.1546390591672393</v>
      </c>
      <c r="D6" s="19"/>
      <c r="E6" s="19"/>
      <c r="F6" s="19"/>
      <c r="G6" s="19"/>
      <c r="H6" s="19"/>
    </row>
    <row r="7" spans="2:8" x14ac:dyDescent="0.15">
      <c r="B7" s="18" t="s">
        <v>84</v>
      </c>
      <c r="C7" s="34">
        <f>H5/ABS(C5)</f>
        <v>2.0522545334235005</v>
      </c>
    </row>
    <row r="9" spans="2:8" x14ac:dyDescent="0.15">
      <c r="C9" s="3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A348-4C74-8C44-822C-AE1CD2AC6A5B}">
  <dimension ref="B1:H13"/>
  <sheetViews>
    <sheetView zoomScale="125" workbookViewId="0">
      <selection activeCell="E55" sqref="E55"/>
    </sheetView>
  </sheetViews>
  <sheetFormatPr baseColWidth="10" defaultRowHeight="12" x14ac:dyDescent="0.15"/>
  <cols>
    <col min="1" max="1" width="2.1640625" style="1" customWidth="1"/>
    <col min="2" max="2" width="23.83203125" style="1" bestFit="1" customWidth="1"/>
    <col min="3" max="16384" width="10.83203125" style="1"/>
  </cols>
  <sheetData>
    <row r="1" spans="2:8" ht="16" x14ac:dyDescent="0.2">
      <c r="B1" s="2" t="s">
        <v>21</v>
      </c>
    </row>
    <row r="2" spans="2:8" x14ac:dyDescent="0.15">
      <c r="B2" s="3" t="s">
        <v>3</v>
      </c>
    </row>
    <row r="4" spans="2:8" ht="13" thickBot="1" x14ac:dyDescent="0.2">
      <c r="B4" s="4" t="s">
        <v>90</v>
      </c>
      <c r="C4" s="44">
        <v>6</v>
      </c>
      <c r="D4" s="43">
        <v>6.5</v>
      </c>
      <c r="E4" s="44">
        <v>7</v>
      </c>
      <c r="F4" s="43">
        <v>7.5</v>
      </c>
      <c r="G4" s="44">
        <v>8</v>
      </c>
      <c r="H4" s="35"/>
    </row>
    <row r="5" spans="2:8" x14ac:dyDescent="0.15">
      <c r="B5" s="1" t="s">
        <v>47</v>
      </c>
      <c r="C5" s="31">
        <f>C$4*$C$11*$C$12</f>
        <v>39.403287041731211</v>
      </c>
      <c r="D5" s="31">
        <f t="shared" ref="D5:G5" si="0">D$4*$C$11*$C$12</f>
        <v>42.686894295208816</v>
      </c>
      <c r="E5" s="31">
        <f t="shared" si="0"/>
        <v>45.970501548686414</v>
      </c>
      <c r="F5" s="31">
        <f t="shared" si="0"/>
        <v>49.254108802164012</v>
      </c>
      <c r="G5" s="31">
        <f t="shared" si="0"/>
        <v>52.537716055641617</v>
      </c>
      <c r="H5" s="31"/>
    </row>
    <row r="6" spans="2:8" x14ac:dyDescent="0.15">
      <c r="B6" s="1" t="s">
        <v>81</v>
      </c>
      <c r="C6" s="6">
        <f>IRR({-20.8;0;0;0;0;39.4})</f>
        <v>0.13628317831374415</v>
      </c>
      <c r="D6" s="6">
        <f>IRR({-20.8;0;0;0;0;42.7})</f>
        <v>0.15470994978072028</v>
      </c>
      <c r="E6" s="6">
        <f>IRR({-20.8;0;0;0;0;46})</f>
        <v>0.17203046161432356</v>
      </c>
      <c r="F6" s="6">
        <f>IRR({-20.8;0;0;0;0;49.3})</f>
        <v>0.18838378351555507</v>
      </c>
      <c r="G6" s="6">
        <f>IRR({-20.8;0;0;0;0;52.5})</f>
        <v>0.20342545551739422</v>
      </c>
    </row>
    <row r="7" spans="2:8" x14ac:dyDescent="0.15">
      <c r="B7" s="1" t="s">
        <v>91</v>
      </c>
      <c r="C7" s="41">
        <f>C$5/20.8</f>
        <v>1.8943888000832312</v>
      </c>
      <c r="D7" s="41">
        <f t="shared" ref="D7:G7" si="1">D$5/20.8</f>
        <v>2.0522545334235005</v>
      </c>
      <c r="E7" s="41">
        <f t="shared" si="1"/>
        <v>2.21012026676377</v>
      </c>
      <c r="F7" s="41">
        <f t="shared" si="1"/>
        <v>2.3679860001040391</v>
      </c>
      <c r="G7" s="41">
        <f t="shared" si="1"/>
        <v>2.5258517334443082</v>
      </c>
    </row>
    <row r="10" spans="2:8" x14ac:dyDescent="0.15">
      <c r="B10" s="8" t="s">
        <v>87</v>
      </c>
      <c r="C10" s="8" t="s">
        <v>26</v>
      </c>
    </row>
    <row r="11" spans="2:8" x14ac:dyDescent="0.15">
      <c r="B11" s="9" t="s">
        <v>88</v>
      </c>
      <c r="C11" s="27">
        <f>'Forecast Model'!G8</f>
        <v>8.209018133694002</v>
      </c>
    </row>
    <row r="12" spans="2:8" x14ac:dyDescent="0.15">
      <c r="B12" s="9" t="s">
        <v>40</v>
      </c>
      <c r="C12" s="15">
        <f>Assumptions!C24</f>
        <v>0.8</v>
      </c>
    </row>
    <row r="13" spans="2:8" x14ac:dyDescent="0.15">
      <c r="B13" s="9" t="s">
        <v>89</v>
      </c>
      <c r="C13" s="9">
        <f>-Valuation!C10</f>
        <v>-20.8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0886-992A-F044-BB18-246B8080FFE5}">
  <dimension ref="B1:K27"/>
  <sheetViews>
    <sheetView tabSelected="1" topLeftCell="A3" zoomScale="136" workbookViewId="0">
      <selection activeCell="J6" sqref="J6"/>
    </sheetView>
  </sheetViews>
  <sheetFormatPr baseColWidth="10" defaultRowHeight="12" x14ac:dyDescent="0.15"/>
  <cols>
    <col min="1" max="1" width="5.5" style="1" customWidth="1"/>
    <col min="2" max="2" width="18" style="1" bestFit="1" customWidth="1"/>
    <col min="3" max="3" width="16.33203125" style="1" customWidth="1"/>
    <col min="4" max="4" width="10.83203125" style="1"/>
    <col min="5" max="5" width="10.1640625" style="1" bestFit="1" customWidth="1"/>
    <col min="6" max="6" width="13.33203125" style="1" bestFit="1" customWidth="1"/>
    <col min="7" max="7" width="12.6640625" style="1" bestFit="1" customWidth="1"/>
    <col min="8" max="8" width="11.5" style="1" bestFit="1" customWidth="1"/>
    <col min="9" max="9" width="10.83203125" style="1"/>
    <col min="10" max="10" width="19" style="1" bestFit="1" customWidth="1"/>
    <col min="11" max="11" width="15.83203125" style="1" customWidth="1"/>
    <col min="12" max="16384" width="10.83203125" style="1"/>
  </cols>
  <sheetData>
    <row r="1" spans="2:11" ht="16" x14ac:dyDescent="0.2">
      <c r="B1" s="2" t="s">
        <v>22</v>
      </c>
    </row>
    <row r="2" spans="2:11" x14ac:dyDescent="0.15">
      <c r="B2" s="3" t="s">
        <v>3</v>
      </c>
    </row>
    <row r="5" spans="2:11" x14ac:dyDescent="0.15">
      <c r="B5" s="45" t="s">
        <v>92</v>
      </c>
      <c r="C5" s="46"/>
      <c r="E5" s="45" t="s">
        <v>106</v>
      </c>
      <c r="F5" s="45"/>
      <c r="G5" s="45"/>
      <c r="H5" s="45"/>
      <c r="J5" s="45" t="s">
        <v>112</v>
      </c>
      <c r="K5" s="46"/>
    </row>
    <row r="6" spans="2:11" x14ac:dyDescent="0.15">
      <c r="B6" s="8" t="s">
        <v>93</v>
      </c>
      <c r="C6" s="8" t="s">
        <v>94</v>
      </c>
      <c r="E6" s="8" t="s">
        <v>0</v>
      </c>
      <c r="F6" s="8" t="s">
        <v>1</v>
      </c>
      <c r="G6" s="8" t="s">
        <v>2</v>
      </c>
      <c r="H6" s="8" t="s">
        <v>107</v>
      </c>
      <c r="J6" s="9" t="s">
        <v>113</v>
      </c>
      <c r="K6" s="28">
        <v>20.8</v>
      </c>
    </row>
    <row r="7" spans="2:11" x14ac:dyDescent="0.15">
      <c r="B7" s="9" t="s">
        <v>95</v>
      </c>
      <c r="C7" s="9" t="s">
        <v>99</v>
      </c>
      <c r="E7" s="9">
        <v>2025</v>
      </c>
      <c r="F7" s="27">
        <f>'Forecast Model'!C5</f>
        <v>23.005000000000003</v>
      </c>
      <c r="G7" s="27">
        <f>'Forecast Model'!C8</f>
        <v>5.7512500000000006</v>
      </c>
      <c r="H7" s="14">
        <f>G7/F7</f>
        <v>0.25</v>
      </c>
      <c r="J7" s="9" t="s">
        <v>114</v>
      </c>
      <c r="K7" s="28">
        <v>42.69</v>
      </c>
    </row>
    <row r="8" spans="2:11" x14ac:dyDescent="0.15">
      <c r="B8" s="9" t="s">
        <v>96</v>
      </c>
      <c r="C8" s="9" t="s">
        <v>100</v>
      </c>
      <c r="E8" s="9">
        <v>2026</v>
      </c>
      <c r="F8" s="27">
        <f>'Forecast Model'!D5</f>
        <v>24.500325</v>
      </c>
      <c r="G8" s="27">
        <f>'Forecast Model'!D8</f>
        <v>6.3700844999999999</v>
      </c>
      <c r="H8" s="14">
        <f>G8/F8</f>
        <v>0.26</v>
      </c>
    </row>
    <row r="9" spans="2:11" x14ac:dyDescent="0.15">
      <c r="B9" s="9" t="s">
        <v>29</v>
      </c>
      <c r="C9" s="9">
        <v>2024</v>
      </c>
      <c r="E9" s="9">
        <v>2027</v>
      </c>
      <c r="F9" s="27">
        <f>'Forecast Model'!E5</f>
        <v>26.092846124999998</v>
      </c>
      <c r="G9" s="27">
        <f>'Forecast Model'!E8</f>
        <v>7.0450684537499999</v>
      </c>
      <c r="H9" s="14">
        <f>G9/F9</f>
        <v>0.27</v>
      </c>
    </row>
    <row r="10" spans="2:11" x14ac:dyDescent="0.15">
      <c r="B10" s="9" t="s">
        <v>97</v>
      </c>
      <c r="C10" s="9" t="s">
        <v>101</v>
      </c>
      <c r="E10" s="9">
        <v>2028</v>
      </c>
      <c r="F10" s="27">
        <f>'Forecast Model'!F5</f>
        <v>27.6584168925</v>
      </c>
      <c r="G10" s="27">
        <f>'Forecast Model'!F8</f>
        <v>7.6060646454375007</v>
      </c>
      <c r="H10" s="14">
        <f>G10/F10</f>
        <v>0.27500000000000002</v>
      </c>
    </row>
    <row r="11" spans="2:11" x14ac:dyDescent="0.15">
      <c r="B11" s="9" t="s">
        <v>43</v>
      </c>
      <c r="C11" s="9" t="s">
        <v>103</v>
      </c>
      <c r="E11" s="37">
        <v>2029</v>
      </c>
      <c r="F11" s="38">
        <f>'Forecast Model'!G5</f>
        <v>29.317921906050003</v>
      </c>
      <c r="G11" s="38">
        <f>'Forecast Model'!G8</f>
        <v>8.209018133694002</v>
      </c>
      <c r="H11" s="39">
        <f>G11/F11</f>
        <v>0.28000000000000003</v>
      </c>
    </row>
    <row r="12" spans="2:11" x14ac:dyDescent="0.15">
      <c r="B12" s="9" t="s">
        <v>38</v>
      </c>
      <c r="C12" s="9" t="s">
        <v>102</v>
      </c>
    </row>
    <row r="13" spans="2:11" x14ac:dyDescent="0.15">
      <c r="B13" s="9" t="s">
        <v>66</v>
      </c>
      <c r="C13" s="9" t="s">
        <v>104</v>
      </c>
      <c r="E13" s="45" t="s">
        <v>115</v>
      </c>
      <c r="F13" s="45"/>
      <c r="G13" s="45"/>
      <c r="H13" s="45"/>
    </row>
    <row r="14" spans="2:11" x14ac:dyDescent="0.15">
      <c r="B14" s="9" t="s">
        <v>67</v>
      </c>
      <c r="C14" s="15">
        <v>0.8</v>
      </c>
      <c r="E14" s="8" t="s">
        <v>70</v>
      </c>
      <c r="F14" s="8" t="s">
        <v>85</v>
      </c>
      <c r="G14" s="8" t="s">
        <v>111</v>
      </c>
      <c r="H14" s="8" t="s">
        <v>86</v>
      </c>
    </row>
    <row r="15" spans="2:11" x14ac:dyDescent="0.15">
      <c r="B15" s="9" t="s">
        <v>98</v>
      </c>
      <c r="C15" s="9" t="s">
        <v>105</v>
      </c>
      <c r="E15" s="10" t="s">
        <v>81</v>
      </c>
      <c r="F15" s="13">
        <f>'Sensitivity Analysis'!C6</f>
        <v>0.13628317831374415</v>
      </c>
      <c r="G15" s="13">
        <f>'Sensitivity Analysis'!D6</f>
        <v>0.15470994978072028</v>
      </c>
      <c r="H15" s="13">
        <f>'Sensitivity Analysis'!E6</f>
        <v>0.17203046161432356</v>
      </c>
    </row>
    <row r="16" spans="2:11" x14ac:dyDescent="0.15">
      <c r="E16" s="10" t="s">
        <v>82</v>
      </c>
      <c r="F16" s="42">
        <f>'Sensitivity Analysis'!C7</f>
        <v>1.8943888000832312</v>
      </c>
      <c r="G16" s="42">
        <f>'Sensitivity Analysis'!D7</f>
        <v>2.0522545334235005</v>
      </c>
      <c r="H16" s="42">
        <f>'Sensitivity Analysis'!E7</f>
        <v>2.21012026676377</v>
      </c>
    </row>
    <row r="18" spans="2:3" x14ac:dyDescent="0.15">
      <c r="B18" s="45" t="s">
        <v>108</v>
      </c>
      <c r="C18" s="46"/>
    </row>
    <row r="19" spans="2:3" x14ac:dyDescent="0.15">
      <c r="B19" s="8" t="s">
        <v>63</v>
      </c>
      <c r="C19" s="8" t="s">
        <v>26</v>
      </c>
    </row>
    <row r="20" spans="2:3" x14ac:dyDescent="0.15">
      <c r="B20" s="9" t="s">
        <v>109</v>
      </c>
      <c r="C20" s="27">
        <f>G11</f>
        <v>8.209018133694002</v>
      </c>
    </row>
    <row r="21" spans="2:3" x14ac:dyDescent="0.15">
      <c r="B21" s="9" t="s">
        <v>70</v>
      </c>
      <c r="C21" s="30">
        <f>Assumptions!C25</f>
        <v>6.5</v>
      </c>
    </row>
    <row r="22" spans="2:3" x14ac:dyDescent="0.15">
      <c r="B22" s="9" t="s">
        <v>42</v>
      </c>
      <c r="C22" s="28">
        <f>Valuation!C16</f>
        <v>53.358617869011013</v>
      </c>
    </row>
    <row r="23" spans="2:3" x14ac:dyDescent="0.15">
      <c r="B23" s="9" t="s">
        <v>110</v>
      </c>
      <c r="C23" s="28">
        <f>Valuation!C18</f>
        <v>42.686894295208816</v>
      </c>
    </row>
    <row r="24" spans="2:3" x14ac:dyDescent="0.15">
      <c r="B24" s="9" t="s">
        <v>91</v>
      </c>
      <c r="C24" s="40">
        <f>Valuation!F12</f>
        <v>2.0522545334235005</v>
      </c>
    </row>
    <row r="25" spans="2:3" x14ac:dyDescent="0.15">
      <c r="B25" s="9" t="s">
        <v>76</v>
      </c>
      <c r="C25" s="15">
        <f>Valuation!F13</f>
        <v>0.1546390591672393</v>
      </c>
    </row>
    <row r="26" spans="2:3" x14ac:dyDescent="0.15">
      <c r="B26" s="26"/>
      <c r="C26" s="26"/>
    </row>
    <row r="27" spans="2:3" x14ac:dyDescent="0.15">
      <c r="B27" s="26"/>
      <c r="C27" s="36"/>
    </row>
  </sheetData>
  <mergeCells count="5">
    <mergeCell ref="B5:C5"/>
    <mergeCell ref="B18:C18"/>
    <mergeCell ref="E5:H5"/>
    <mergeCell ref="E13:H13"/>
    <mergeCell ref="J5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Assumptions</vt:lpstr>
      <vt:lpstr>Historical Financials</vt:lpstr>
      <vt:lpstr>Forecast Model</vt:lpstr>
      <vt:lpstr>Valuation</vt:lpstr>
      <vt:lpstr>IRR Model</vt:lpstr>
      <vt:lpstr>Sensitivity 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 Tagibekov</dc:creator>
  <cp:lastModifiedBy>Arsen Tagibekov</cp:lastModifiedBy>
  <dcterms:created xsi:type="dcterms:W3CDTF">2025-04-22T15:50:54Z</dcterms:created>
  <dcterms:modified xsi:type="dcterms:W3CDTF">2025-04-24T18:34:26Z</dcterms:modified>
</cp:coreProperties>
</file>