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2"/>
  <workbookPr/>
  <mc:AlternateContent xmlns:mc="http://schemas.openxmlformats.org/markup-compatibility/2006">
    <mc:Choice Requires="x15">
      <x15ac:absPath xmlns:x15ac="http://schemas.microsoft.com/office/spreadsheetml/2010/11/ac" url="/Users/admin/Desktop/Job Hunting/Projects for CV/Financial Analyst/Project 1 Fundamental Analysis of Emaar Properties PJSC using DCF and Multiples Valuation/"/>
    </mc:Choice>
  </mc:AlternateContent>
  <xr:revisionPtr revIDLastSave="0" documentId="13_ncr:1_{05A81B41-0344-314E-8FBF-B2D1662A8087}" xr6:coauthVersionLast="47" xr6:coauthVersionMax="47" xr10:uidLastSave="{00000000-0000-0000-0000-000000000000}"/>
  <bookViews>
    <workbookView xWindow="1060" yWindow="500" windowWidth="27740" windowHeight="16240" activeTab="2" xr2:uid="{00000000-000D-0000-FFFF-FFFF00000000}"/>
  </bookViews>
  <sheets>
    <sheet name="General" sheetId="1" r:id="rId1"/>
    <sheet name="Financials" sheetId="3" r:id="rId2"/>
    <sheet name="Adjustments" sheetId="4" r:id="rId3"/>
  </sheets>
  <definedNames>
    <definedName name="_xlnm._FilterDatabase" localSheetId="0" hidden="1">General!$B$3:$F$14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4" l="1"/>
  <c r="H48" i="4"/>
  <c r="H47" i="4"/>
  <c r="G48" i="4"/>
  <c r="G47" i="4"/>
  <c r="H46" i="4"/>
  <c r="G46" i="4"/>
  <c r="F46" i="4"/>
  <c r="E48" i="4"/>
  <c r="E47" i="4"/>
  <c r="E46" i="4"/>
  <c r="J40" i="4"/>
  <c r="D40" i="4"/>
  <c r="J13" i="4"/>
  <c r="J12" i="4"/>
  <c r="J11" i="4"/>
  <c r="J10" i="4"/>
  <c r="J9" i="4"/>
  <c r="J8" i="4"/>
  <c r="J7" i="4"/>
  <c r="J6" i="4"/>
  <c r="J5" i="4"/>
  <c r="G24" i="4"/>
  <c r="G22" i="4"/>
  <c r="G15" i="4"/>
  <c r="G13" i="4"/>
  <c r="G12" i="4"/>
  <c r="G11" i="4"/>
  <c r="G10" i="4"/>
  <c r="G9" i="4"/>
  <c r="G8" i="4"/>
  <c r="G7" i="4"/>
  <c r="G6" i="4"/>
  <c r="G5" i="4"/>
  <c r="J4" i="4"/>
  <c r="G4" i="4"/>
  <c r="G40" i="4"/>
  <c r="D38" i="4"/>
  <c r="D27" i="4" l="1"/>
  <c r="J27" i="4"/>
  <c r="J26" i="4"/>
  <c r="J25" i="4"/>
  <c r="G26" i="4"/>
  <c r="D26" i="4"/>
  <c r="G25" i="4"/>
  <c r="D25" i="4" l="1"/>
  <c r="J17" i="4" l="1"/>
  <c r="J18" i="4"/>
  <c r="J20" i="4"/>
  <c r="G21" i="4"/>
  <c r="G20" i="4"/>
  <c r="G18" i="4"/>
  <c r="G17" i="4"/>
  <c r="D20" i="4"/>
  <c r="D21" i="4"/>
  <c r="D18" i="4"/>
  <c r="D17" i="4"/>
  <c r="E13" i="1" l="1"/>
  <c r="E12" i="1"/>
  <c r="E11" i="1"/>
  <c r="E9" i="1"/>
  <c r="E8" i="1"/>
  <c r="E5" i="1"/>
  <c r="E10" i="1"/>
  <c r="D15" i="4" l="1"/>
  <c r="J3" i="4"/>
  <c r="G3" i="4"/>
  <c r="J11" i="3" l="1"/>
  <c r="J10" i="3"/>
  <c r="J9" i="3"/>
  <c r="G11" i="3"/>
  <c r="G10" i="3"/>
  <c r="G9" i="3"/>
  <c r="G7" i="3"/>
  <c r="D10" i="3"/>
  <c r="D9" i="3"/>
  <c r="D7" i="3"/>
  <c r="D12" i="3"/>
  <c r="D11" i="3"/>
  <c r="D5" i="3"/>
  <c r="D4" i="3"/>
  <c r="G12" i="3"/>
  <c r="G5" i="3"/>
  <c r="G4" i="3"/>
  <c r="J12" i="3"/>
  <c r="J7" i="3"/>
  <c r="M9" i="3"/>
  <c r="M12" i="3"/>
  <c r="M10" i="3"/>
  <c r="M11" i="3"/>
  <c r="M7" i="3"/>
  <c r="J5" i="3"/>
  <c r="J4" i="3"/>
  <c r="K12" i="3" s="1"/>
  <c r="M5" i="3" l="1"/>
  <c r="M4" i="3"/>
  <c r="N12" i="3" s="1"/>
  <c r="E4" i="3"/>
  <c r="H10" i="3"/>
  <c r="K9" i="3"/>
  <c r="D6" i="3"/>
  <c r="D8" i="3" s="1"/>
  <c r="E5" i="3"/>
  <c r="H5" i="3"/>
  <c r="E7" i="3"/>
  <c r="H7" i="3"/>
  <c r="E9" i="3"/>
  <c r="E10" i="3"/>
  <c r="E12" i="3"/>
  <c r="N4" i="3" l="1"/>
  <c r="K4" i="3"/>
  <c r="N9" i="3"/>
  <c r="N5" i="3"/>
  <c r="N11" i="3"/>
  <c r="K5" i="3"/>
  <c r="G6" i="3"/>
  <c r="G8" i="3" s="1"/>
  <c r="H8" i="3" s="1"/>
  <c r="N7" i="3"/>
  <c r="M6" i="3"/>
  <c r="M8" i="3" s="1"/>
  <c r="M13" i="3" s="1"/>
  <c r="M14" i="3" s="1"/>
  <c r="H4" i="3"/>
  <c r="H12" i="3"/>
  <c r="N10" i="3"/>
  <c r="E6" i="3"/>
  <c r="H11" i="3"/>
  <c r="E11" i="3"/>
  <c r="H9" i="3"/>
  <c r="J6" i="3"/>
  <c r="J8" i="3" s="1"/>
  <c r="J13" i="3" s="1"/>
  <c r="J14" i="3" s="1"/>
  <c r="K10" i="3"/>
  <c r="K11" i="3"/>
  <c r="E8" i="3"/>
  <c r="D13" i="3"/>
  <c r="D14" i="3" s="1"/>
  <c r="K7" i="3"/>
  <c r="K12" i="1"/>
  <c r="E13" i="3" l="1"/>
  <c r="N13" i="3"/>
  <c r="N8" i="3"/>
  <c r="G13" i="3"/>
  <c r="G14" i="3" s="1"/>
  <c r="K6" i="3"/>
  <c r="N6" i="3"/>
  <c r="H6" i="3"/>
  <c r="K8" i="3"/>
  <c r="H13" i="1"/>
  <c r="G13" i="1"/>
  <c r="H12" i="1"/>
  <c r="H11" i="1"/>
  <c r="G11" i="1"/>
  <c r="J11" i="1" s="1"/>
  <c r="H10" i="1"/>
  <c r="G10" i="1"/>
  <c r="K10" i="1" s="1"/>
  <c r="H9" i="1"/>
  <c r="G9" i="1"/>
  <c r="J9" i="1" s="1"/>
  <c r="H8" i="1"/>
  <c r="G8" i="1"/>
  <c r="K8" i="1" s="1"/>
  <c r="H7" i="1"/>
  <c r="G7" i="1"/>
  <c r="K7" i="1" s="1"/>
  <c r="G5" i="1"/>
  <c r="K5" i="1" s="1"/>
  <c r="D3" i="4"/>
  <c r="H5" i="1"/>
  <c r="J7" i="1" l="1"/>
  <c r="J10" i="1"/>
  <c r="J8" i="1"/>
  <c r="H13" i="3"/>
  <c r="K13" i="3"/>
  <c r="J5" i="1"/>
  <c r="D10" i="4" l="1"/>
  <c r="D11" i="4" l="1"/>
  <c r="D9" i="4"/>
  <c r="D7" i="4"/>
  <c r="D5" i="4"/>
  <c r="D4" i="4"/>
  <c r="E10" i="4" s="1"/>
  <c r="D24" i="4"/>
  <c r="J13" i="1"/>
  <c r="J12" i="1"/>
  <c r="J24" i="4"/>
  <c r="K9" i="1"/>
  <c r="E5" i="4" l="1"/>
  <c r="E7" i="4"/>
  <c r="E9" i="4"/>
  <c r="E11" i="4"/>
  <c r="D12" i="4"/>
  <c r="E12" i="4" s="1"/>
  <c r="E4" i="4"/>
  <c r="K13" i="1"/>
  <c r="K11" i="1"/>
  <c r="D28" i="4"/>
  <c r="D36" i="4" s="1"/>
  <c r="K6" i="4" l="1"/>
  <c r="H4" i="4"/>
  <c r="K4" i="4"/>
  <c r="K9" i="4"/>
  <c r="K12" i="4"/>
  <c r="K11" i="4"/>
  <c r="K5" i="4"/>
  <c r="K10" i="4"/>
  <c r="K7" i="4"/>
  <c r="H5" i="4"/>
  <c r="H11" i="4"/>
  <c r="H12" i="4"/>
  <c r="H7" i="4"/>
  <c r="H9" i="4"/>
  <c r="H10" i="4"/>
  <c r="D6" i="4"/>
  <c r="E6" i="4" s="1"/>
  <c r="J28" i="4"/>
  <c r="J36" i="4" s="1"/>
  <c r="G27" i="4"/>
  <c r="G28" i="4"/>
  <c r="G36" i="4" s="1"/>
  <c r="K8" i="4" l="1"/>
  <c r="D8" i="4"/>
  <c r="H6" i="4"/>
  <c r="J15" i="4" l="1"/>
  <c r="J22" i="4" s="1"/>
  <c r="K13" i="4"/>
  <c r="E8" i="4"/>
  <c r="D13" i="4"/>
  <c r="D22" i="4" l="1"/>
  <c r="E13" i="4"/>
  <c r="H8" i="4"/>
  <c r="H13" i="4" l="1"/>
  <c r="J38" i="4" l="1"/>
</calcChain>
</file>

<file path=xl/sharedStrings.xml><?xml version="1.0" encoding="utf-8"?>
<sst xmlns="http://schemas.openxmlformats.org/spreadsheetml/2006/main" count="146" uniqueCount="112">
  <si>
    <t>Peer group</t>
  </si>
  <si>
    <t>Company</t>
  </si>
  <si>
    <t>%</t>
  </si>
  <si>
    <t>Country</t>
  </si>
  <si>
    <t>Revenue</t>
  </si>
  <si>
    <t>USA</t>
  </si>
  <si>
    <t>Target</t>
  </si>
  <si>
    <t>Net income</t>
  </si>
  <si>
    <t>Peer group - General</t>
  </si>
  <si>
    <t>Market cap ($m)</t>
  </si>
  <si>
    <t>Japan</t>
  </si>
  <si>
    <t>Cost of revenue</t>
  </si>
  <si>
    <t>Gross profit</t>
  </si>
  <si>
    <t>Operating expenses</t>
  </si>
  <si>
    <t>EBIT</t>
  </si>
  <si>
    <t>Interest expenses</t>
  </si>
  <si>
    <t>Taxes</t>
  </si>
  <si>
    <t>$ million</t>
  </si>
  <si>
    <t>Other income</t>
  </si>
  <si>
    <t>Other expenses</t>
  </si>
  <si>
    <t>EBIT adj.</t>
  </si>
  <si>
    <t>Market value of equity</t>
  </si>
  <si>
    <t>Debt</t>
  </si>
  <si>
    <t>Cash</t>
  </si>
  <si>
    <t>Enterprise Value</t>
  </si>
  <si>
    <t>Enterprise Value adj.</t>
  </si>
  <si>
    <t>EV/EBIT</t>
  </si>
  <si>
    <t>Valuation target</t>
  </si>
  <si>
    <t>Adjustments</t>
  </si>
  <si>
    <t>Impairment loss</t>
  </si>
  <si>
    <t>as a % of revenue</t>
  </si>
  <si>
    <t>P/E</t>
  </si>
  <si>
    <t>Germany</t>
  </si>
  <si>
    <t>Revenue / Employee</t>
  </si>
  <si>
    <t>USD/EUR</t>
  </si>
  <si>
    <t>Price / Revenue</t>
  </si>
  <si>
    <t>Peer group - Financials Comparison</t>
  </si>
  <si>
    <t>Financial services revenue</t>
  </si>
  <si>
    <t>Financial services cost</t>
  </si>
  <si>
    <t>Receivables financial services</t>
  </si>
  <si>
    <t>Other financial liabilities</t>
  </si>
  <si>
    <t>Retirement benefits</t>
  </si>
  <si>
    <t>Other financial assets</t>
  </si>
  <si>
    <t>Equity-method investments</t>
  </si>
  <si>
    <t>CAGR% 3y</t>
  </si>
  <si>
    <t>Rental income (non operating)</t>
  </si>
  <si>
    <t>Other income (one-off, equity method, etc.)</t>
  </si>
  <si>
    <t>Investment property</t>
  </si>
  <si>
    <t>Currency</t>
  </si>
  <si>
    <t>EUR</t>
  </si>
  <si>
    <t>USD</t>
  </si>
  <si>
    <t>Market Cap data reported as of 13 April 2025 - companiesmarketcap.com</t>
  </si>
  <si>
    <t>Emaar Properties</t>
  </si>
  <si>
    <t>UAE</t>
  </si>
  <si>
    <t>AED</t>
  </si>
  <si>
    <t>Employees 2024</t>
  </si>
  <si>
    <t>Revenue 2024 ($m)</t>
  </si>
  <si>
    <t>Aldar Properties</t>
  </si>
  <si>
    <t>Dar Al Arkan</t>
  </si>
  <si>
    <t>Saudi Arabia</t>
  </si>
  <si>
    <t>Hong Kong</t>
  </si>
  <si>
    <t xml:space="preserve">Unibail-Rodamco-Westfield </t>
  </si>
  <si>
    <t>France</t>
  </si>
  <si>
    <t>Sun Hung Kai Properties</t>
  </si>
  <si>
    <t>Mitsui Fudosan</t>
  </si>
  <si>
    <t>Equity Residential</t>
  </si>
  <si>
    <t>Vonovia</t>
  </si>
  <si>
    <t>1.00 = 3.673</t>
  </si>
  <si>
    <t>USD/AED</t>
  </si>
  <si>
    <t>HKD</t>
  </si>
  <si>
    <t>USD/HKD</t>
  </si>
  <si>
    <t>USD/JPY</t>
  </si>
  <si>
    <t>JPY</t>
  </si>
  <si>
    <t>USD/SAR</t>
  </si>
  <si>
    <t>SAR</t>
  </si>
  <si>
    <t>1.00 = 0.88</t>
  </si>
  <si>
    <t>1.00 = 7.754</t>
  </si>
  <si>
    <t>1.00 = 143.517</t>
  </si>
  <si>
    <t>1.00 = 3.75</t>
  </si>
  <si>
    <t>Most of the data on companies was found on Yahoo Finance</t>
  </si>
  <si>
    <t>Sources:</t>
  </si>
  <si>
    <t>https://properties.emaar.com/wp-content/uploads/2025/03/Emaar-Properties-IR-2024_English_F.pdf</t>
  </si>
  <si>
    <t>https://cdn.aldar.com/-/media/project/aldar-tenant/aldar2/fy-2024-results/english-financial-statement-dec-24.pdf?rev=bf3178f15d0d4ca3a217d3df2f9488bd</t>
  </si>
  <si>
    <t>USD/AED: 1.00 = 3.673</t>
  </si>
  <si>
    <t>USD/HKD: 1.00 = 7.754</t>
  </si>
  <si>
    <t>USD/JPY: 1.00 = 143.517</t>
  </si>
  <si>
    <t>https://www.shkp.com/Content/Uploads/FinReports/SHKPAR_EN_2023_24.pdf</t>
  </si>
  <si>
    <t>https://companiesmarketcap.com/financial-statements/55865.fs.en.2024.pdf</t>
  </si>
  <si>
    <t>Peer Evaluation:</t>
  </si>
  <si>
    <r>
      <t>Aldar Properties</t>
    </r>
    <r>
      <rPr>
        <sz val="9"/>
        <color theme="1"/>
        <rFont val="Arial"/>
        <family val="2"/>
      </rPr>
      <t xml:space="preserve"> has solid profitability, UAE-based company, closest in structure to Emaar</t>
    </r>
    <r>
      <rPr>
        <b/>
        <sz val="9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>Properties</t>
    </r>
    <r>
      <rPr>
        <b/>
        <sz val="9"/>
        <color theme="1"/>
        <rFont val="Arial"/>
        <family val="2"/>
      </rPr>
      <t xml:space="preserve"> (Keeping it)</t>
    </r>
  </si>
  <si>
    <r>
      <rPr>
        <b/>
        <sz val="9"/>
        <color theme="1"/>
        <rFont val="Arial"/>
        <family val="2"/>
      </rPr>
      <t xml:space="preserve">Sun Hung Kai Properties </t>
    </r>
    <r>
      <rPr>
        <sz val="9"/>
        <color theme="1"/>
        <rFont val="Arial"/>
        <family val="2"/>
      </rPr>
      <t xml:space="preserve">has similar revenue base to Emaar, diversified real estate developer </t>
    </r>
    <r>
      <rPr>
        <b/>
        <sz val="9"/>
        <color theme="1"/>
        <rFont val="Arial"/>
        <family val="2"/>
      </rPr>
      <t>(Keeping it)</t>
    </r>
  </si>
  <si>
    <r>
      <t>Mitsui Fudosan</t>
    </r>
    <r>
      <rPr>
        <sz val="9"/>
        <color theme="1"/>
        <rFont val="Arial"/>
        <family val="2"/>
      </rPr>
      <t xml:space="preserve"> has margins that are significantly below Emaar's, Gross Profit is 25% of Revenue </t>
    </r>
    <r>
      <rPr>
        <b/>
        <sz val="9"/>
        <color theme="1"/>
        <rFont val="Arial"/>
        <family val="2"/>
      </rPr>
      <t>(Removing it for the next step)</t>
    </r>
  </si>
  <si>
    <r>
      <rPr>
        <b/>
        <sz val="9"/>
        <color theme="1"/>
        <rFont val="Arial"/>
        <family val="2"/>
      </rPr>
      <t>Aldar Properties:</t>
    </r>
    <r>
      <rPr>
        <sz val="9"/>
        <color theme="1"/>
        <rFont val="Arial"/>
        <family val="2"/>
      </rPr>
      <t xml:space="preserve"> Closest peer in the same region</t>
    </r>
  </si>
  <si>
    <r>
      <rPr>
        <b/>
        <sz val="9"/>
        <color theme="1"/>
        <rFont val="Arial"/>
        <family val="2"/>
      </rPr>
      <t xml:space="preserve">Dar Al Arkan: </t>
    </r>
    <r>
      <rPr>
        <sz val="9"/>
        <color theme="1"/>
        <rFont val="Arial"/>
        <family val="2"/>
      </rPr>
      <t>Same Gulf Cooperation Council (GCC) exposure, but small market cap</t>
    </r>
  </si>
  <si>
    <r>
      <rPr>
        <b/>
        <sz val="9"/>
        <color theme="1"/>
        <rFont val="Arial"/>
        <family val="2"/>
      </rPr>
      <t xml:space="preserve">Unibail-Rodamco-Westfield: </t>
    </r>
    <r>
      <rPr>
        <sz val="9"/>
        <color theme="1"/>
        <rFont val="Arial"/>
        <family val="2"/>
      </rPr>
      <t>Misaligned with Emaar structurally, operationally, and geographically (focused mostly on shopping centers)</t>
    </r>
  </si>
  <si>
    <r>
      <rPr>
        <b/>
        <sz val="9"/>
        <color theme="1"/>
        <rFont val="Arial"/>
        <family val="2"/>
      </rPr>
      <t xml:space="preserve">Sun Hung Kai Properties: </t>
    </r>
    <r>
      <rPr>
        <sz val="9"/>
        <color theme="1"/>
        <rFont val="Arial"/>
        <family val="2"/>
      </rPr>
      <t>Scale match with Emaar, even though it's Asia-based</t>
    </r>
  </si>
  <si>
    <r>
      <rPr>
        <b/>
        <sz val="9"/>
        <color theme="1"/>
        <rFont val="Arial"/>
        <family val="2"/>
      </rPr>
      <t xml:space="preserve">Mitsui Fudosan: </t>
    </r>
    <r>
      <rPr>
        <sz val="9"/>
        <color theme="1"/>
        <rFont val="Arial"/>
        <family val="2"/>
      </rPr>
      <t>Diversified portfolio includes hotels, leasing, commercial + residential, which aligns with Emaar</t>
    </r>
  </si>
  <si>
    <r>
      <rPr>
        <b/>
        <sz val="9"/>
        <color theme="1"/>
        <rFont val="Arial"/>
        <family val="2"/>
      </rPr>
      <t xml:space="preserve">Equity Residential: </t>
    </r>
    <r>
      <rPr>
        <sz val="9"/>
        <color theme="1"/>
        <rFont val="Arial"/>
        <family val="2"/>
      </rPr>
      <t>Low Revenue considering Market Cap, different operational model</t>
    </r>
  </si>
  <si>
    <r>
      <rPr>
        <b/>
        <sz val="9"/>
        <color theme="1"/>
        <rFont val="Arial"/>
        <family val="2"/>
      </rPr>
      <t xml:space="preserve">Vonovia: </t>
    </r>
    <r>
      <rPr>
        <sz val="9"/>
        <color theme="1"/>
        <rFont val="Arial"/>
        <family val="2"/>
      </rPr>
      <t>Different Market, $5.2 billion revenue but 12000 employees, Europe exposure only</t>
    </r>
  </si>
  <si>
    <t>Keeping it</t>
  </si>
  <si>
    <t>Removing it</t>
  </si>
  <si>
    <t>Keeping it for the next step</t>
  </si>
  <si>
    <t>Adjustments:</t>
  </si>
  <si>
    <t>In real estate companies most items in adjustments (Investment property, receivables financial services) are already fully reflected on balance sheet</t>
  </si>
  <si>
    <t>In EV adjustments there is a risk of double counting</t>
  </si>
  <si>
    <t>Case</t>
  </si>
  <si>
    <t>EV/EBIT Multiple</t>
  </si>
  <si>
    <t>EV (in millions USD)</t>
  </si>
  <si>
    <t>EV (in millions AED)</t>
  </si>
  <si>
    <t>Low Estimate</t>
  </si>
  <si>
    <t>Mid Estimate</t>
  </si>
  <si>
    <t>High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</si>
</sst>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i/>
      <sz val="8"/>
      <color theme="1"/>
      <name val="Arial"/>
      <family val="2"/>
    </font>
    <font>
      <sz val="12"/>
      <color rgb="FFE3E3E3"/>
      <name val="Helvetica Neue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/>
    <xf numFmtId="0" fontId="4" fillId="2" borderId="0" xfId="0" applyFont="1" applyFill="1"/>
    <xf numFmtId="0" fontId="4" fillId="2" borderId="1" xfId="0" applyFont="1" applyFill="1" applyBorder="1" applyAlignment="1">
      <alignment horizontal="right"/>
    </xf>
    <xf numFmtId="0" fontId="5" fillId="3" borderId="0" xfId="0" applyFont="1" applyFill="1"/>
    <xf numFmtId="164" fontId="2" fillId="2" borderId="0" xfId="0" applyNumberFormat="1" applyFont="1" applyFill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0" xfId="0" applyFont="1" applyFill="1"/>
    <xf numFmtId="0" fontId="6" fillId="2" borderId="4" xfId="0" applyFont="1" applyFill="1" applyBorder="1"/>
    <xf numFmtId="165" fontId="2" fillId="2" borderId="0" xfId="0" applyNumberFormat="1" applyFont="1" applyFill="1"/>
    <xf numFmtId="165" fontId="6" fillId="2" borderId="2" xfId="0" applyNumberFormat="1" applyFont="1" applyFill="1" applyBorder="1"/>
    <xf numFmtId="165" fontId="6" fillId="2" borderId="4" xfId="0" applyNumberFormat="1" applyFont="1" applyFill="1" applyBorder="1"/>
    <xf numFmtId="9" fontId="6" fillId="2" borderId="4" xfId="1" applyFont="1" applyFill="1" applyBorder="1"/>
    <xf numFmtId="9" fontId="2" fillId="2" borderId="0" xfId="1" applyFont="1" applyFill="1"/>
    <xf numFmtId="9" fontId="2" fillId="2" borderId="0" xfId="1" applyFont="1" applyFill="1" applyBorder="1"/>
    <xf numFmtId="9" fontId="6" fillId="2" borderId="2" xfId="1" applyFont="1" applyFill="1" applyBorder="1"/>
    <xf numFmtId="165" fontId="2" fillId="2" borderId="0" xfId="0" applyNumberFormat="1" applyFont="1" applyFill="1" applyAlignment="1">
      <alignment horizontal="right"/>
    </xf>
    <xf numFmtId="165" fontId="6" fillId="2" borderId="2" xfId="0" applyNumberFormat="1" applyFont="1" applyFill="1" applyBorder="1" applyAlignment="1">
      <alignment horizontal="right"/>
    </xf>
    <xf numFmtId="165" fontId="6" fillId="2" borderId="4" xfId="0" applyNumberFormat="1" applyFont="1" applyFill="1" applyBorder="1" applyAlignment="1">
      <alignment horizontal="right"/>
    </xf>
    <xf numFmtId="0" fontId="6" fillId="2" borderId="3" xfId="0" applyFont="1" applyFill="1" applyBorder="1" applyAlignment="1">
      <alignment horizontal="right"/>
    </xf>
    <xf numFmtId="0" fontId="7" fillId="2" borderId="0" xfId="0" applyFont="1" applyFill="1"/>
    <xf numFmtId="9" fontId="2" fillId="2" borderId="0" xfId="1" applyFont="1" applyFill="1" applyBorder="1" applyAlignment="1">
      <alignment horizontal="right"/>
    </xf>
    <xf numFmtId="9" fontId="6" fillId="2" borderId="2" xfId="1" applyFont="1" applyFill="1" applyBorder="1" applyAlignment="1">
      <alignment horizontal="right"/>
    </xf>
    <xf numFmtId="9" fontId="2" fillId="2" borderId="0" xfId="1" applyFont="1" applyFill="1" applyAlignment="1">
      <alignment horizontal="right"/>
    </xf>
    <xf numFmtId="9" fontId="6" fillId="2" borderId="4" xfId="1" applyFont="1" applyFill="1" applyBorder="1" applyAlignment="1">
      <alignment horizontal="right"/>
    </xf>
    <xf numFmtId="0" fontId="8" fillId="2" borderId="0" xfId="0" applyFont="1" applyFill="1"/>
    <xf numFmtId="9" fontId="8" fillId="2" borderId="0" xfId="1" applyFont="1" applyFill="1"/>
    <xf numFmtId="2" fontId="2" fillId="2" borderId="0" xfId="0" applyNumberFormat="1" applyFont="1" applyFill="1"/>
    <xf numFmtId="164" fontId="6" fillId="2" borderId="0" xfId="0" applyNumberFormat="1" applyFont="1" applyFill="1"/>
    <xf numFmtId="3" fontId="5" fillId="3" borderId="0" xfId="0" applyNumberFormat="1" applyFont="1" applyFill="1" applyAlignment="1">
      <alignment horizontal="right"/>
    </xf>
    <xf numFmtId="3" fontId="4" fillId="2" borderId="0" xfId="0" applyNumberFormat="1" applyFont="1" applyFill="1"/>
    <xf numFmtId="3" fontId="4" fillId="2" borderId="0" xfId="0" applyNumberFormat="1" applyFont="1" applyFill="1" applyAlignment="1">
      <alignment horizontal="right"/>
    </xf>
    <xf numFmtId="3" fontId="2" fillId="2" borderId="0" xfId="0" applyNumberFormat="1" applyFont="1" applyFill="1"/>
    <xf numFmtId="3" fontId="2" fillId="2" borderId="0" xfId="0" applyNumberFormat="1" applyFont="1" applyFill="1" applyAlignment="1">
      <alignment horizontal="right"/>
    </xf>
    <xf numFmtId="2" fontId="2" fillId="4" borderId="0" xfId="0" applyNumberFormat="1" applyFont="1" applyFill="1"/>
    <xf numFmtId="9" fontId="4" fillId="2" borderId="0" xfId="1" applyFont="1" applyFill="1" applyBorder="1" applyAlignment="1">
      <alignment horizontal="right"/>
    </xf>
    <xf numFmtId="166" fontId="5" fillId="3" borderId="0" xfId="1" applyNumberFormat="1" applyFont="1" applyFill="1" applyAlignment="1">
      <alignment horizontal="right"/>
    </xf>
    <xf numFmtId="166" fontId="2" fillId="2" borderId="0" xfId="1" applyNumberFormat="1" applyFont="1" applyFill="1" applyAlignment="1">
      <alignment horizontal="right"/>
    </xf>
    <xf numFmtId="165" fontId="6" fillId="2" borderId="0" xfId="0" applyNumberFormat="1" applyFont="1" applyFill="1"/>
    <xf numFmtId="3" fontId="9" fillId="0" borderId="0" xfId="0" applyNumberFormat="1" applyFont="1"/>
    <xf numFmtId="165" fontId="5" fillId="3" borderId="0" xfId="0" applyNumberFormat="1" applyFont="1" applyFill="1"/>
    <xf numFmtId="0" fontId="2" fillId="2" borderId="0" xfId="0" applyFont="1" applyFill="1" applyAlignment="1">
      <alignment horizontal="right"/>
    </xf>
    <xf numFmtId="4" fontId="5" fillId="3" borderId="0" xfId="0" applyNumberFormat="1" applyFont="1" applyFill="1"/>
    <xf numFmtId="4" fontId="2" fillId="2" borderId="0" xfId="0" applyNumberFormat="1" applyFont="1" applyFill="1"/>
    <xf numFmtId="166" fontId="2" fillId="0" borderId="0" xfId="1" applyNumberFormat="1" applyFont="1" applyFill="1" applyAlignment="1">
      <alignment horizontal="right"/>
    </xf>
    <xf numFmtId="2" fontId="2" fillId="0" borderId="0" xfId="0" applyNumberFormat="1" applyFont="1"/>
    <xf numFmtId="4" fontId="2" fillId="0" borderId="0" xfId="0" applyNumberFormat="1" applyFont="1"/>
    <xf numFmtId="3" fontId="2" fillId="0" borderId="0" xfId="0" applyNumberFormat="1" applyFont="1" applyAlignment="1">
      <alignment horizontal="right"/>
    </xf>
    <xf numFmtId="0" fontId="6" fillId="2" borderId="0" xfId="0" applyFont="1" applyFill="1" applyAlignment="1">
      <alignment horizontal="right"/>
    </xf>
    <xf numFmtId="165" fontId="6" fillId="2" borderId="0" xfId="0" applyNumberFormat="1" applyFont="1" applyFill="1" applyAlignment="1">
      <alignment horizontal="right"/>
    </xf>
    <xf numFmtId="9" fontId="6" fillId="2" borderId="0" xfId="1" applyFont="1" applyFill="1" applyBorder="1"/>
    <xf numFmtId="0" fontId="6" fillId="7" borderId="3" xfId="0" applyFont="1" applyFill="1" applyBorder="1" applyAlignment="1">
      <alignment horizontal="right"/>
    </xf>
    <xf numFmtId="165" fontId="2" fillId="7" borderId="0" xfId="0" applyNumberFormat="1" applyFont="1" applyFill="1" applyAlignment="1">
      <alignment horizontal="right"/>
    </xf>
    <xf numFmtId="9" fontId="2" fillId="7" borderId="0" xfId="1" applyFont="1" applyFill="1" applyBorder="1"/>
    <xf numFmtId="165" fontId="6" fillId="7" borderId="2" xfId="0" applyNumberFormat="1" applyFont="1" applyFill="1" applyBorder="1" applyAlignment="1">
      <alignment horizontal="right"/>
    </xf>
    <xf numFmtId="9" fontId="6" fillId="7" borderId="2" xfId="1" applyFont="1" applyFill="1" applyBorder="1"/>
    <xf numFmtId="9" fontId="2" fillId="7" borderId="0" xfId="1" applyFont="1" applyFill="1"/>
    <xf numFmtId="165" fontId="6" fillId="7" borderId="4" xfId="0" applyNumberFormat="1" applyFont="1" applyFill="1" applyBorder="1" applyAlignment="1">
      <alignment horizontal="right"/>
    </xf>
    <xf numFmtId="9" fontId="6" fillId="7" borderId="4" xfId="1" applyFont="1" applyFill="1" applyBorder="1"/>
    <xf numFmtId="0" fontId="2" fillId="7" borderId="0" xfId="0" applyFont="1" applyFill="1"/>
    <xf numFmtId="9" fontId="8" fillId="2" borderId="0" xfId="1" applyFont="1" applyFill="1" applyBorder="1"/>
    <xf numFmtId="0" fontId="6" fillId="6" borderId="0" xfId="0" applyFont="1" applyFill="1"/>
    <xf numFmtId="0" fontId="6" fillId="4" borderId="0" xfId="0" applyFont="1" applyFill="1"/>
    <xf numFmtId="0" fontId="2" fillId="0" borderId="0" xfId="0" applyFont="1"/>
    <xf numFmtId="0" fontId="4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/>
    </xf>
    <xf numFmtId="165" fontId="2" fillId="2" borderId="6" xfId="0" applyNumberFormat="1" applyFont="1" applyFill="1" applyBorder="1" applyAlignment="1">
      <alignment horizontal="center" vertical="center"/>
    </xf>
    <xf numFmtId="165" fontId="2" fillId="2" borderId="7" xfId="0" applyNumberFormat="1" applyFont="1" applyFill="1" applyBorder="1" applyAlignment="1">
      <alignment horizontal="center" vertical="center"/>
    </xf>
    <xf numFmtId="165" fontId="2" fillId="2" borderId="8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3"/>
  <sheetViews>
    <sheetView zoomScale="115" workbookViewId="0">
      <selection activeCell="B3" sqref="B3"/>
    </sheetView>
  </sheetViews>
  <sheetFormatPr baseColWidth="10" defaultColWidth="9.1640625" defaultRowHeight="12" x14ac:dyDescent="0.15"/>
  <cols>
    <col min="1" max="1" width="2" style="1" customWidth="1"/>
    <col min="2" max="2" width="25" style="1" customWidth="1"/>
    <col min="3" max="4" width="13.5" style="1" customWidth="1"/>
    <col min="5" max="5" width="20.6640625" style="1" bestFit="1" customWidth="1"/>
    <col min="6" max="6" width="15.83203125" style="1" customWidth="1"/>
    <col min="7" max="7" width="16.6640625" style="1" bestFit="1" customWidth="1"/>
    <col min="8" max="8" width="10.5" style="1" bestFit="1" customWidth="1"/>
    <col min="9" max="9" width="9.1640625" style="1"/>
    <col min="10" max="10" width="18.6640625" style="1" bestFit="1" customWidth="1"/>
    <col min="11" max="11" width="13.6640625" style="1" bestFit="1" customWidth="1"/>
    <col min="12" max="16384" width="9.1640625" style="1"/>
  </cols>
  <sheetData>
    <row r="1" spans="2:11" ht="16" x14ac:dyDescent="0.2">
      <c r="B1" s="2" t="s">
        <v>8</v>
      </c>
      <c r="C1" s="2"/>
      <c r="D1" s="2"/>
    </row>
    <row r="3" spans="2:11" ht="13" thickBot="1" x14ac:dyDescent="0.2">
      <c r="B3" s="3" t="s">
        <v>1</v>
      </c>
      <c r="C3" s="3" t="s">
        <v>3</v>
      </c>
      <c r="D3" s="3" t="s">
        <v>48</v>
      </c>
      <c r="E3" s="5" t="s">
        <v>9</v>
      </c>
      <c r="F3" s="5" t="s">
        <v>55</v>
      </c>
      <c r="G3" s="5" t="s">
        <v>56</v>
      </c>
      <c r="H3" s="5" t="s">
        <v>44</v>
      </c>
      <c r="J3" s="5" t="s">
        <v>33</v>
      </c>
      <c r="K3" s="5" t="s">
        <v>35</v>
      </c>
    </row>
    <row r="4" spans="2:11" x14ac:dyDescent="0.15">
      <c r="B4" s="4" t="s">
        <v>6</v>
      </c>
      <c r="C4" s="4"/>
      <c r="D4" s="4"/>
      <c r="E4" s="4"/>
      <c r="F4" s="4"/>
      <c r="G4" s="4"/>
    </row>
    <row r="5" spans="2:11" x14ac:dyDescent="0.15">
      <c r="B5" s="6" t="s">
        <v>52</v>
      </c>
      <c r="C5" s="6" t="s">
        <v>53</v>
      </c>
      <c r="D5" s="6" t="s">
        <v>54</v>
      </c>
      <c r="E5" s="43">
        <f>(8840538889*3.28)/1000000</f>
        <v>28996.967555919997</v>
      </c>
      <c r="F5" s="32">
        <v>7886</v>
      </c>
      <c r="G5" s="45">
        <f>35504.92/3.673</f>
        <v>9666.4633814320714</v>
      </c>
      <c r="H5" s="39">
        <f>(9666.46/6786.19)^(1/3)-1</f>
        <v>0.12515878246140155</v>
      </c>
      <c r="J5" s="30">
        <f>G5/F5</f>
        <v>1.2257752195577063</v>
      </c>
      <c r="K5" s="30">
        <f>E5/G5</f>
        <v>2.9997493821389867</v>
      </c>
    </row>
    <row r="6" spans="2:11" x14ac:dyDescent="0.15">
      <c r="B6" s="4" t="s">
        <v>0</v>
      </c>
      <c r="C6" s="4"/>
      <c r="D6" s="4"/>
      <c r="E6" s="33"/>
      <c r="F6" s="34"/>
      <c r="G6" s="33"/>
      <c r="H6" s="38"/>
      <c r="J6" s="7"/>
      <c r="K6" s="30"/>
    </row>
    <row r="7" spans="2:11" x14ac:dyDescent="0.15">
      <c r="B7" s="1" t="s">
        <v>57</v>
      </c>
      <c r="C7" s="1" t="s">
        <v>53</v>
      </c>
      <c r="D7" s="1" t="s">
        <v>54</v>
      </c>
      <c r="E7" s="36">
        <v>16690</v>
      </c>
      <c r="F7" s="36">
        <v>3435</v>
      </c>
      <c r="G7" s="46">
        <f>22998.38/3.673</f>
        <v>6261.4701878573378</v>
      </c>
      <c r="H7" s="40">
        <f>(6261.47/3049.29)^(1/3)-1</f>
        <v>0.27103992213082373</v>
      </c>
      <c r="J7" s="30">
        <f>G7/F7</f>
        <v>1.8228443050530823</v>
      </c>
      <c r="K7" s="30">
        <f>E7/G7</f>
        <v>2.665508179271757</v>
      </c>
    </row>
    <row r="8" spans="2:11" x14ac:dyDescent="0.15">
      <c r="B8" s="1" t="s">
        <v>58</v>
      </c>
      <c r="C8" s="1" t="s">
        <v>59</v>
      </c>
      <c r="D8" s="1" t="s">
        <v>74</v>
      </c>
      <c r="E8" s="36">
        <f>(1080000000*5.76)/1000000</f>
        <v>6220.8</v>
      </c>
      <c r="F8" s="36">
        <v>413</v>
      </c>
      <c r="G8" s="46">
        <f>3759.022/3.75</f>
        <v>1002.4058666666666</v>
      </c>
      <c r="H8" s="40">
        <f>(1002.41/1046.8)^(1/3)-1</f>
        <v>-1.4339788664352593E-2</v>
      </c>
      <c r="J8" s="30">
        <f>G8/F8</f>
        <v>2.4271328490718318</v>
      </c>
      <c r="K8" s="37">
        <f>E8/G8</f>
        <v>6.205869505419229</v>
      </c>
    </row>
    <row r="9" spans="2:11" x14ac:dyDescent="0.15">
      <c r="B9" s="1" t="s">
        <v>61</v>
      </c>
      <c r="C9" s="1" t="s">
        <v>62</v>
      </c>
      <c r="D9" s="1" t="s">
        <v>49</v>
      </c>
      <c r="E9" s="36">
        <f>(139497322*74.06)/1000000</f>
        <v>10331.171667319999</v>
      </c>
      <c r="F9" s="36">
        <v>2410</v>
      </c>
      <c r="G9" s="46">
        <f>3256.1*0.88</f>
        <v>2865.3679999999999</v>
      </c>
      <c r="H9" s="47">
        <f>(2865.37/2643.34)^(1/3)-1</f>
        <v>2.72493943651404E-2</v>
      </c>
      <c r="J9" s="30">
        <f>G9/F9</f>
        <v>1.1889493775933611</v>
      </c>
      <c r="K9" s="30">
        <f t="shared" ref="K9:K13" si="0">E9/G9</f>
        <v>3.60553048240924</v>
      </c>
    </row>
    <row r="10" spans="2:11" x14ac:dyDescent="0.15">
      <c r="B10" s="1" t="s">
        <v>63</v>
      </c>
      <c r="C10" s="1" t="s">
        <v>60</v>
      </c>
      <c r="D10" s="1" t="s">
        <v>69</v>
      </c>
      <c r="E10" s="36">
        <f>(2897780274*8.75)/1000000</f>
        <v>25355.577397500001</v>
      </c>
      <c r="F10" s="36">
        <v>40000</v>
      </c>
      <c r="G10" s="46">
        <f>71506/7.754</f>
        <v>9221.8209956151677</v>
      </c>
      <c r="H10" s="40">
        <f>(9221.82/10026.6959)^(1/3)-1</f>
        <v>-2.7507488366322441E-2</v>
      </c>
      <c r="J10" s="37">
        <f>G10/F10</f>
        <v>0.23054552489037919</v>
      </c>
      <c r="K10" s="30">
        <f>E10/G10</f>
        <v>2.7495195807374904</v>
      </c>
    </row>
    <row r="11" spans="2:11" x14ac:dyDescent="0.15">
      <c r="B11" s="1" t="s">
        <v>64</v>
      </c>
      <c r="C11" s="1" t="s">
        <v>10</v>
      </c>
      <c r="D11" s="1" t="s">
        <v>72</v>
      </c>
      <c r="E11" s="36">
        <f>(2802500000*9.62)/1000000</f>
        <v>26960.049999999996</v>
      </c>
      <c r="F11" s="36">
        <v>2049</v>
      </c>
      <c r="G11" s="46">
        <f>2383289/143.517</f>
        <v>16606.318415240006</v>
      </c>
      <c r="H11" s="47">
        <f>(16606.32/14638.47)^(1/3)-1</f>
        <v>4.293979382099411E-2</v>
      </c>
      <c r="J11" s="30">
        <f>G11/F11</f>
        <v>8.1045965911371436</v>
      </c>
      <c r="K11" s="30">
        <f t="shared" si="0"/>
        <v>1.6234814560256852</v>
      </c>
    </row>
    <row r="12" spans="2:11" x14ac:dyDescent="0.15">
      <c r="B12" s="1" t="s">
        <v>65</v>
      </c>
      <c r="C12" s="1" t="s">
        <v>5</v>
      </c>
      <c r="D12" s="1" t="s">
        <v>50</v>
      </c>
      <c r="E12" s="36">
        <f>(378795000*64.64)/1000000</f>
        <v>24485.308799999999</v>
      </c>
      <c r="F12" s="36">
        <v>2500</v>
      </c>
      <c r="G12" s="49">
        <v>2980.11</v>
      </c>
      <c r="H12" s="40">
        <f>(2980.11/2735.18)^(1/3)-1</f>
        <v>2.9000204014818065E-2</v>
      </c>
      <c r="J12" s="30">
        <f t="shared" ref="J12:J13" si="1">G12/F12</f>
        <v>1.1920440000000001</v>
      </c>
      <c r="K12" s="37">
        <f>E12/G12</f>
        <v>8.2162432930328073</v>
      </c>
    </row>
    <row r="13" spans="2:11" x14ac:dyDescent="0.15">
      <c r="B13" s="1" t="s">
        <v>66</v>
      </c>
      <c r="C13" s="1" t="s">
        <v>32</v>
      </c>
      <c r="D13" s="1" t="s">
        <v>49</v>
      </c>
      <c r="E13" s="36">
        <f>(819354465*30.4)/1000000</f>
        <v>24908.375736000002</v>
      </c>
      <c r="F13" s="50">
        <v>12000</v>
      </c>
      <c r="G13" s="46">
        <f>5939.1*0.88</f>
        <v>5226.4080000000004</v>
      </c>
      <c r="H13" s="47">
        <f>(5226.41/4601.08)^(1/3)-1</f>
        <v>4.3392948218985206E-2</v>
      </c>
      <c r="J13" s="37">
        <f t="shared" si="1"/>
        <v>0.43553400000000003</v>
      </c>
      <c r="K13" s="30">
        <f t="shared" si="0"/>
        <v>4.7658689746380309</v>
      </c>
    </row>
    <row r="14" spans="2:11" x14ac:dyDescent="0.15">
      <c r="E14" s="36"/>
      <c r="F14" s="36"/>
      <c r="G14" s="35"/>
      <c r="H14" s="47"/>
      <c r="J14" s="30"/>
      <c r="K14" s="48"/>
    </row>
    <row r="15" spans="2:11" ht="15" customHeight="1" x14ac:dyDescent="0.15">
      <c r="E15" s="64" t="s">
        <v>101</v>
      </c>
      <c r="F15" s="66" t="s">
        <v>92</v>
      </c>
      <c r="J15" s="7"/>
    </row>
    <row r="16" spans="2:11" x14ac:dyDescent="0.15">
      <c r="B16" s="1" t="s">
        <v>68</v>
      </c>
      <c r="C16" s="44" t="s">
        <v>67</v>
      </c>
      <c r="E16" s="65" t="s">
        <v>100</v>
      </c>
      <c r="F16" s="66" t="s">
        <v>93</v>
      </c>
    </row>
    <row r="17" spans="2:6" x14ac:dyDescent="0.15">
      <c r="B17" s="1" t="s">
        <v>34</v>
      </c>
      <c r="C17" s="44" t="s">
        <v>75</v>
      </c>
      <c r="E17" s="65" t="s">
        <v>100</v>
      </c>
      <c r="F17" s="66" t="s">
        <v>94</v>
      </c>
    </row>
    <row r="18" spans="2:6" x14ac:dyDescent="0.15">
      <c r="B18" s="1" t="s">
        <v>70</v>
      </c>
      <c r="C18" s="44" t="s">
        <v>76</v>
      </c>
      <c r="E18" s="64" t="s">
        <v>99</v>
      </c>
      <c r="F18" s="66" t="s">
        <v>95</v>
      </c>
    </row>
    <row r="19" spans="2:6" x14ac:dyDescent="0.15">
      <c r="B19" s="1" t="s">
        <v>71</v>
      </c>
      <c r="C19" s="44" t="s">
        <v>77</v>
      </c>
      <c r="E19" s="64" t="s">
        <v>99</v>
      </c>
      <c r="F19" s="66" t="s">
        <v>96</v>
      </c>
    </row>
    <row r="20" spans="2:6" x14ac:dyDescent="0.15">
      <c r="B20" s="1" t="s">
        <v>73</v>
      </c>
      <c r="C20" s="44" t="s">
        <v>78</v>
      </c>
      <c r="E20" s="65" t="s">
        <v>100</v>
      </c>
      <c r="F20" s="66" t="s">
        <v>97</v>
      </c>
    </row>
    <row r="21" spans="2:6" x14ac:dyDescent="0.15">
      <c r="E21" s="65" t="s">
        <v>100</v>
      </c>
      <c r="F21" s="66" t="s">
        <v>98</v>
      </c>
    </row>
    <row r="22" spans="2:6" x14ac:dyDescent="0.15">
      <c r="B22" s="1" t="s">
        <v>51</v>
      </c>
    </row>
    <row r="23" spans="2:6" ht="16" x14ac:dyDescent="0.2">
      <c r="B23" s="1" t="s">
        <v>79</v>
      </c>
      <c r="F23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F3D9E-011E-467A-982A-35CAD3771EA7}">
  <dimension ref="B1:N37"/>
  <sheetViews>
    <sheetView zoomScale="116" workbookViewId="0">
      <selection activeCell="G13" sqref="G13"/>
    </sheetView>
  </sheetViews>
  <sheetFormatPr baseColWidth="10" defaultColWidth="9.1640625" defaultRowHeight="12" x14ac:dyDescent="0.15"/>
  <cols>
    <col min="1" max="1" width="2" style="1" customWidth="1"/>
    <col min="2" max="2" width="17" style="1" bestFit="1" customWidth="1"/>
    <col min="3" max="3" width="1.83203125" style="1" customWidth="1"/>
    <col min="4" max="4" width="13.5" style="1" customWidth="1"/>
    <col min="5" max="5" width="7.33203125" style="1" bestFit="1" customWidth="1"/>
    <col min="6" max="6" width="3.6640625" style="1" customWidth="1"/>
    <col min="7" max="7" width="15.1640625" style="1" customWidth="1"/>
    <col min="8" max="8" width="7.33203125" style="1" bestFit="1" customWidth="1"/>
    <col min="9" max="9" width="3.6640625" style="1" customWidth="1"/>
    <col min="10" max="10" width="14.33203125" style="1" customWidth="1"/>
    <col min="11" max="11" width="7.5" style="1" customWidth="1"/>
    <col min="12" max="12" width="3.6640625" style="1" customWidth="1"/>
    <col min="13" max="13" width="14" style="1" bestFit="1" customWidth="1"/>
    <col min="14" max="14" width="9.33203125" style="1" bestFit="1" customWidth="1"/>
    <col min="15" max="16384" width="9.1640625" style="1"/>
  </cols>
  <sheetData>
    <row r="1" spans="2:14" ht="16" x14ac:dyDescent="0.2">
      <c r="B1" s="2" t="s">
        <v>36</v>
      </c>
      <c r="C1" s="2"/>
      <c r="D1" s="2"/>
    </row>
    <row r="2" spans="2:14" x14ac:dyDescent="0.15">
      <c r="M2" s="70" t="s">
        <v>27</v>
      </c>
      <c r="N2" s="70"/>
    </row>
    <row r="3" spans="2:14" x14ac:dyDescent="0.15">
      <c r="B3" s="9" t="s">
        <v>17</v>
      </c>
      <c r="C3" s="10"/>
      <c r="D3" s="22" t="s">
        <v>57</v>
      </c>
      <c r="E3" s="22" t="s">
        <v>2</v>
      </c>
      <c r="G3" s="9" t="s">
        <v>63</v>
      </c>
      <c r="H3" s="22" t="s">
        <v>2</v>
      </c>
      <c r="I3" s="10"/>
      <c r="J3" s="54" t="s">
        <v>64</v>
      </c>
      <c r="K3" s="54" t="s">
        <v>2</v>
      </c>
      <c r="M3" s="9" t="s">
        <v>52</v>
      </c>
      <c r="N3" s="22" t="s">
        <v>2</v>
      </c>
    </row>
    <row r="4" spans="2:14" x14ac:dyDescent="0.15">
      <c r="B4" s="1" t="s">
        <v>4</v>
      </c>
      <c r="D4" s="19">
        <f>22998.38/3.673</f>
        <v>6261.4701878573378</v>
      </c>
      <c r="E4" s="17">
        <f t="shared" ref="E4:E13" si="0">D4/D$4</f>
        <v>1</v>
      </c>
      <c r="G4" s="12">
        <f>71506/7.754</f>
        <v>9221.8209956151677</v>
      </c>
      <c r="H4" s="17">
        <f t="shared" ref="H4:H12" si="1">G4/G$4</f>
        <v>1</v>
      </c>
      <c r="J4" s="55">
        <f>2383289/143.517</f>
        <v>16606.318415240006</v>
      </c>
      <c r="K4" s="56">
        <f t="shared" ref="K4:K13" si="2">J4/J$4</f>
        <v>1</v>
      </c>
      <c r="M4" s="12">
        <f>35504.92/3.673</f>
        <v>9666.4633814320714</v>
      </c>
      <c r="N4" s="17">
        <f>M4/M$4</f>
        <v>1</v>
      </c>
    </row>
    <row r="5" spans="2:14" x14ac:dyDescent="0.15">
      <c r="B5" s="1" t="s">
        <v>11</v>
      </c>
      <c r="D5" s="19">
        <f>-14953.24/3.673</f>
        <v>-4071.1244214538524</v>
      </c>
      <c r="E5" s="17">
        <f t="shared" si="0"/>
        <v>-0.65018666532164437</v>
      </c>
      <c r="G5" s="12">
        <f>-39292/7.754</f>
        <v>-5067.3200928553006</v>
      </c>
      <c r="H5" s="17">
        <f t="shared" si="1"/>
        <v>-0.54949235029228305</v>
      </c>
      <c r="J5" s="55">
        <f>-1790164/143.517</f>
        <v>-12473.532752217508</v>
      </c>
      <c r="K5" s="56">
        <f t="shared" si="2"/>
        <v>-0.75113173433855496</v>
      </c>
      <c r="M5" s="12">
        <f>(-15124.37/3.673)</f>
        <v>-4117.7157636809152</v>
      </c>
      <c r="N5" s="17">
        <f t="shared" ref="N5:N11" si="3">M5/M$4</f>
        <v>-0.42597955438288559</v>
      </c>
    </row>
    <row r="6" spans="2:14" x14ac:dyDescent="0.15">
      <c r="B6" s="8" t="s">
        <v>12</v>
      </c>
      <c r="C6" s="10"/>
      <c r="D6" s="20">
        <f>SUM(D4:D5)</f>
        <v>2190.3457664034854</v>
      </c>
      <c r="E6" s="18">
        <f t="shared" si="0"/>
        <v>0.34981333467835568</v>
      </c>
      <c r="G6" s="13">
        <f>SUM(G4:G5)</f>
        <v>4154.5009027598671</v>
      </c>
      <c r="H6" s="18">
        <f t="shared" si="1"/>
        <v>0.4505076497077169</v>
      </c>
      <c r="J6" s="57">
        <f>SUM(J4:J5)</f>
        <v>4132.7856630224978</v>
      </c>
      <c r="K6" s="58">
        <f t="shared" si="2"/>
        <v>0.2488682656614451</v>
      </c>
      <c r="M6" s="13">
        <f>SUM(M4:M5)</f>
        <v>5548.7476177511562</v>
      </c>
      <c r="N6" s="18">
        <f t="shared" si="3"/>
        <v>0.57402044561711441</v>
      </c>
    </row>
    <row r="7" spans="2:14" x14ac:dyDescent="0.15">
      <c r="B7" s="1" t="s">
        <v>13</v>
      </c>
      <c r="D7" s="19">
        <f>-(129.4+679.32+578.83+199.19+540.73)/3.673</f>
        <v>-579.21862237952632</v>
      </c>
      <c r="E7" s="17">
        <f t="shared" si="0"/>
        <v>-9.2505211236617535E-2</v>
      </c>
      <c r="G7" s="12">
        <f>-(3906+3322-1766)/7.754</f>
        <v>-704.4106267732783</v>
      </c>
      <c r="H7" s="17">
        <f t="shared" si="1"/>
        <v>-7.6385198444885727E-2</v>
      </c>
      <c r="J7" s="55">
        <f>(-253433)/143.517</f>
        <v>-1765.8744260261851</v>
      </c>
      <c r="K7" s="56">
        <f t="shared" si="2"/>
        <v>-0.10633750250179479</v>
      </c>
      <c r="M7" s="12">
        <f>(654.2-239.42-3232.28)/3.673</f>
        <v>-767.08412741628092</v>
      </c>
      <c r="N7" s="17">
        <f t="shared" si="3"/>
        <v>-7.9355199223093587E-2</v>
      </c>
    </row>
    <row r="8" spans="2:14" x14ac:dyDescent="0.15">
      <c r="B8" s="8" t="s">
        <v>14</v>
      </c>
      <c r="C8" s="10"/>
      <c r="D8" s="20">
        <f>SUM(D6:D7)</f>
        <v>1611.1271440239591</v>
      </c>
      <c r="E8" s="18">
        <f t="shared" si="0"/>
        <v>0.25730812344173815</v>
      </c>
      <c r="G8" s="13">
        <f>SUM(G6:G7)</f>
        <v>3450.0902759865889</v>
      </c>
      <c r="H8" s="18">
        <f t="shared" si="1"/>
        <v>0.37412245126283117</v>
      </c>
      <c r="J8" s="57">
        <f>SUM(J6:J7)</f>
        <v>2366.9112369963127</v>
      </c>
      <c r="K8" s="58">
        <f t="shared" si="2"/>
        <v>0.1425307631596503</v>
      </c>
      <c r="M8" s="13">
        <f>SUM(M6:M7)</f>
        <v>4781.663490334875</v>
      </c>
      <c r="N8" s="18">
        <f t="shared" si="3"/>
        <v>0.49466524639402076</v>
      </c>
    </row>
    <row r="9" spans="2:14" x14ac:dyDescent="0.15">
      <c r="B9" s="1" t="s">
        <v>18</v>
      </c>
      <c r="C9" s="10"/>
      <c r="D9" s="19">
        <f>(841.48+81.29+48.97+715.4+199.63)/3.673</f>
        <v>513.68635992376801</v>
      </c>
      <c r="E9" s="17">
        <f t="shared" si="0"/>
        <v>8.2039256678079056E-2</v>
      </c>
      <c r="G9" s="12">
        <f>(479+1879)/7.754</f>
        <v>304.10110910497809</v>
      </c>
      <c r="H9" s="17">
        <f t="shared" si="1"/>
        <v>3.2976253740944809E-2</v>
      </c>
      <c r="J9" s="55">
        <f>(83743+3974)/143.517</f>
        <v>611.19588620163472</v>
      </c>
      <c r="K9" s="56">
        <f t="shared" si="2"/>
        <v>3.6805020289188597E-2</v>
      </c>
      <c r="M9" s="12">
        <f>(2102.45+1596.32+5.6)/3.673</f>
        <v>1008.5407024230873</v>
      </c>
      <c r="N9" s="17">
        <f t="shared" si="3"/>
        <v>0.10433399089478303</v>
      </c>
    </row>
    <row r="10" spans="2:14" x14ac:dyDescent="0.15">
      <c r="B10" s="1" t="s">
        <v>19</v>
      </c>
      <c r="C10" s="10"/>
      <c r="D10" s="19">
        <f>-1.903/3.673</f>
        <v>-0.5181050912060986</v>
      </c>
      <c r="E10" s="17">
        <f t="shared" si="0"/>
        <v>-8.2744958557950604E-5</v>
      </c>
      <c r="G10" s="12">
        <f>-1481/7.754</f>
        <v>-190.99819448026827</v>
      </c>
      <c r="H10" s="17">
        <f t="shared" si="1"/>
        <v>-2.0711548681229545E-2</v>
      </c>
      <c r="J10" s="55">
        <f>-(18808)/143.517</f>
        <v>-131.05067692329132</v>
      </c>
      <c r="K10" s="56">
        <f t="shared" si="2"/>
        <v>-7.8916153265508292E-3</v>
      </c>
      <c r="M10" s="19">
        <f>-(625.14+801.58)/3.673</f>
        <v>-388.43452218894635</v>
      </c>
      <c r="N10" s="17">
        <f t="shared" si="3"/>
        <v>-4.0183726649715028E-2</v>
      </c>
    </row>
    <row r="11" spans="2:14" x14ac:dyDescent="0.15">
      <c r="B11" s="1" t="s">
        <v>15</v>
      </c>
      <c r="D11" s="19">
        <f>-943.415/3.673</f>
        <v>-256.85134767220256</v>
      </c>
      <c r="E11" s="16">
        <f t="shared" si="0"/>
        <v>-4.1020932778743545E-2</v>
      </c>
      <c r="G11" s="19">
        <f>-4046/7.754</f>
        <v>-521.79520247614141</v>
      </c>
      <c r="H11" s="16">
        <f t="shared" si="1"/>
        <v>-5.6582664391799285E-2</v>
      </c>
      <c r="J11" s="55">
        <f>(-74535)/143.517</f>
        <v>-519.3461401785155</v>
      </c>
      <c r="K11" s="59">
        <f t="shared" si="2"/>
        <v>-3.1274008313721083E-2</v>
      </c>
      <c r="M11" s="19">
        <f>-(940.91)/3.673</f>
        <v>-256.16934386060439</v>
      </c>
      <c r="N11" s="16">
        <f t="shared" si="3"/>
        <v>-2.6500834250577102E-2</v>
      </c>
    </row>
    <row r="12" spans="2:14" x14ac:dyDescent="0.15">
      <c r="B12" s="1" t="s">
        <v>16</v>
      </c>
      <c r="D12" s="19">
        <f>-355.178/3.673</f>
        <v>-96.699700517288321</v>
      </c>
      <c r="E12" s="16">
        <f t="shared" si="0"/>
        <v>-1.5443609506408711E-2</v>
      </c>
      <c r="G12" s="19">
        <f>-3978/7.754</f>
        <v>-513.02553520763479</v>
      </c>
      <c r="H12" s="16">
        <f t="shared" si="1"/>
        <v>-5.5631695242357282E-2</v>
      </c>
      <c r="J12" s="55">
        <f>-(106377)/143.517</f>
        <v>-741.2153264073246</v>
      </c>
      <c r="K12" s="59">
        <f>J12/J$4</f>
        <v>-4.4634536558512211E-2</v>
      </c>
      <c r="M12" s="19">
        <f>-(1450.71)/3.673</f>
        <v>-394.96596787367275</v>
      </c>
      <c r="N12" s="16">
        <f>M12/M$4</f>
        <v>-4.0859407653925151E-2</v>
      </c>
    </row>
    <row r="13" spans="2:14" ht="13" thickBot="1" x14ac:dyDescent="0.2">
      <c r="B13" s="11" t="s">
        <v>7</v>
      </c>
      <c r="D13" s="21">
        <f>SUM(D8:D12)</f>
        <v>1770.7443506670299</v>
      </c>
      <c r="E13" s="15">
        <f t="shared" si="0"/>
        <v>0.28280009287610697</v>
      </c>
      <c r="G13" s="14">
        <f>SUM(G8:G12)</f>
        <v>2528.3724529275223</v>
      </c>
      <c r="H13" s="15">
        <f>G13/G$4</f>
        <v>0.27417279668838984</v>
      </c>
      <c r="J13" s="60">
        <f>SUM(J8:J12)</f>
        <v>1586.4949796888163</v>
      </c>
      <c r="K13" s="61">
        <f t="shared" si="2"/>
        <v>9.5535623250054796E-2</v>
      </c>
      <c r="M13" s="14">
        <f>SUM(M8:M12)</f>
        <v>4750.634358834739</v>
      </c>
      <c r="N13" s="15">
        <f>M13/M$4</f>
        <v>0.49145526873458656</v>
      </c>
    </row>
    <row r="14" spans="2:14" x14ac:dyDescent="0.15">
      <c r="D14" s="30">
        <f>D13*3.673</f>
        <v>6503.9440000000013</v>
      </c>
      <c r="E14" s="1" t="s">
        <v>54</v>
      </c>
      <c r="G14" s="1">
        <f>G13*7.754</f>
        <v>19605.000000000007</v>
      </c>
      <c r="H14" s="1" t="s">
        <v>69</v>
      </c>
      <c r="J14" s="62">
        <f>J13*143.517</f>
        <v>227688.99999999985</v>
      </c>
      <c r="K14" s="62" t="s">
        <v>72</v>
      </c>
      <c r="M14" s="1">
        <f>M13*3.673</f>
        <v>17449.079999999998</v>
      </c>
      <c r="N14" s="1" t="s">
        <v>54</v>
      </c>
    </row>
    <row r="16" spans="2:14" x14ac:dyDescent="0.15">
      <c r="G16" s="10" t="s">
        <v>88</v>
      </c>
      <c r="J16" s="12"/>
    </row>
    <row r="17" spans="2:14" x14ac:dyDescent="0.15">
      <c r="G17" s="10" t="s">
        <v>89</v>
      </c>
      <c r="N17" s="12"/>
    </row>
    <row r="18" spans="2:14" x14ac:dyDescent="0.15">
      <c r="G18" s="1" t="s">
        <v>90</v>
      </c>
    </row>
    <row r="19" spans="2:14" x14ac:dyDescent="0.15">
      <c r="B19" s="1" t="s">
        <v>83</v>
      </c>
      <c r="D19" s="44"/>
      <c r="G19" s="10" t="s">
        <v>91</v>
      </c>
    </row>
    <row r="20" spans="2:14" x14ac:dyDescent="0.15">
      <c r="B20" s="1" t="s">
        <v>84</v>
      </c>
      <c r="D20" s="44"/>
    </row>
    <row r="21" spans="2:14" x14ac:dyDescent="0.15">
      <c r="B21" s="1" t="s">
        <v>85</v>
      </c>
      <c r="D21" s="44"/>
    </row>
    <row r="24" spans="2:14" x14ac:dyDescent="0.15">
      <c r="B24" s="10" t="s">
        <v>80</v>
      </c>
    </row>
    <row r="25" spans="2:14" x14ac:dyDescent="0.15">
      <c r="B25" s="1" t="s">
        <v>81</v>
      </c>
    </row>
    <row r="26" spans="2:14" x14ac:dyDescent="0.15">
      <c r="B26" s="1" t="s">
        <v>82</v>
      </c>
    </row>
    <row r="27" spans="2:14" x14ac:dyDescent="0.15">
      <c r="B27" s="1" t="s">
        <v>86</v>
      </c>
      <c r="H27" s="51"/>
    </row>
    <row r="28" spans="2:14" x14ac:dyDescent="0.15">
      <c r="B28" s="1" t="s">
        <v>87</v>
      </c>
      <c r="F28" s="1" t="s">
        <v>64</v>
      </c>
      <c r="H28" s="17"/>
    </row>
    <row r="29" spans="2:14" x14ac:dyDescent="0.15">
      <c r="H29" s="17"/>
    </row>
    <row r="30" spans="2:14" x14ac:dyDescent="0.15">
      <c r="E30" s="10"/>
      <c r="G30" s="52"/>
      <c r="H30" s="53"/>
    </row>
    <row r="31" spans="2:14" x14ac:dyDescent="0.15">
      <c r="G31" s="19"/>
      <c r="H31" s="17"/>
    </row>
    <row r="32" spans="2:14" x14ac:dyDescent="0.15">
      <c r="E32" s="10"/>
      <c r="G32" s="52"/>
      <c r="H32" s="53"/>
    </row>
    <row r="33" spans="5:8" x14ac:dyDescent="0.15">
      <c r="G33" s="19"/>
      <c r="H33" s="17"/>
    </row>
    <row r="34" spans="5:8" x14ac:dyDescent="0.15">
      <c r="G34" s="19"/>
      <c r="H34" s="17"/>
    </row>
    <row r="35" spans="5:8" x14ac:dyDescent="0.15">
      <c r="G35" s="19"/>
      <c r="H35" s="17"/>
    </row>
    <row r="36" spans="5:8" x14ac:dyDescent="0.15">
      <c r="G36" s="19"/>
      <c r="H36" s="17"/>
    </row>
    <row r="37" spans="5:8" x14ac:dyDescent="0.15">
      <c r="E37" s="10"/>
      <c r="G37" s="52"/>
      <c r="H37" s="53"/>
    </row>
  </sheetData>
  <mergeCells count="1">
    <mergeCell ref="M2: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3C272-CBAD-46C0-BEDF-45C547500EDA}">
  <dimension ref="B1:N48"/>
  <sheetViews>
    <sheetView tabSelected="1" zoomScale="115" zoomScaleNormal="130" workbookViewId="0">
      <pane xSplit="3" ySplit="3" topLeftCell="D15" activePane="bottomRight" state="frozen"/>
      <selection pane="topRight" activeCell="D1" sqref="D1"/>
      <selection pane="bottomLeft" activeCell="A4" sqref="A4"/>
      <selection pane="bottomRight" activeCell="G39" sqref="G39"/>
    </sheetView>
  </sheetViews>
  <sheetFormatPr baseColWidth="10" defaultColWidth="9.1640625" defaultRowHeight="12" x14ac:dyDescent="0.15"/>
  <cols>
    <col min="1" max="1" width="2" style="1" customWidth="1"/>
    <col min="2" max="2" width="33.5" style="1" customWidth="1"/>
    <col min="3" max="3" width="1.83203125" style="1" customWidth="1"/>
    <col min="4" max="4" width="13.83203125" style="1" bestFit="1" customWidth="1"/>
    <col min="5" max="5" width="13.1640625" style="1" bestFit="1" customWidth="1"/>
    <col min="6" max="6" width="7.6640625" style="1" bestFit="1" customWidth="1"/>
    <col min="7" max="7" width="16.83203125" style="1" bestFit="1" customWidth="1"/>
    <col min="8" max="8" width="15.83203125" style="1" bestFit="1" customWidth="1"/>
    <col min="9" max="9" width="3.6640625" style="1" customWidth="1"/>
    <col min="10" max="10" width="13.5" style="1" customWidth="1"/>
    <col min="11" max="11" width="5.5" style="1" bestFit="1" customWidth="1"/>
    <col min="12" max="12" width="3.6640625" style="1" customWidth="1"/>
    <col min="13" max="13" width="13.5" style="1" customWidth="1"/>
    <col min="14" max="14" width="5.5" style="1" bestFit="1" customWidth="1"/>
    <col min="15" max="16384" width="9.1640625" style="1"/>
  </cols>
  <sheetData>
    <row r="1" spans="2:14" ht="16" x14ac:dyDescent="0.2">
      <c r="B1" s="2" t="s">
        <v>28</v>
      </c>
      <c r="C1" s="2"/>
      <c r="M1" s="2"/>
    </row>
    <row r="2" spans="2:14" x14ac:dyDescent="0.15">
      <c r="D2" s="70" t="s">
        <v>27</v>
      </c>
      <c r="E2" s="70"/>
    </row>
    <row r="3" spans="2:14" x14ac:dyDescent="0.15">
      <c r="B3" s="9" t="s">
        <v>17</v>
      </c>
      <c r="C3" s="10"/>
      <c r="D3" s="22" t="str">
        <f>Financials!M3</f>
        <v>Emaar Properties</v>
      </c>
      <c r="E3" s="22"/>
      <c r="G3" s="22" t="str">
        <f>Financials!D3</f>
        <v>Aldar Properties</v>
      </c>
      <c r="H3" s="22"/>
      <c r="I3" s="10"/>
      <c r="J3" s="22" t="str">
        <f>Financials!G3</f>
        <v>Sun Hung Kai Properties</v>
      </c>
      <c r="K3" s="22"/>
      <c r="M3" s="51"/>
      <c r="N3" s="51"/>
    </row>
    <row r="4" spans="2:14" x14ac:dyDescent="0.15">
      <c r="B4" s="1" t="s">
        <v>4</v>
      </c>
      <c r="D4" s="12">
        <f>Financials!M4</f>
        <v>9666.4633814320714</v>
      </c>
      <c r="E4" s="24">
        <f t="shared" ref="E4:E13" si="0">D4/D$4</f>
        <v>1</v>
      </c>
      <c r="G4" s="12">
        <f>Financials!D4</f>
        <v>6261.4701878573378</v>
      </c>
      <c r="H4" s="24">
        <f t="shared" ref="H4:H13" si="1">G4/G$4</f>
        <v>1</v>
      </c>
      <c r="J4" s="12">
        <f>Financials!G4</f>
        <v>9221.8209956151677</v>
      </c>
      <c r="K4" s="17">
        <f t="shared" ref="K4:K13" si="2">J4/J$4</f>
        <v>1</v>
      </c>
      <c r="M4" s="19"/>
      <c r="N4" s="17"/>
    </row>
    <row r="5" spans="2:14" x14ac:dyDescent="0.15">
      <c r="B5" s="1" t="s">
        <v>11</v>
      </c>
      <c r="D5" s="12">
        <f>Financials!M5</f>
        <v>-4117.7157636809152</v>
      </c>
      <c r="E5" s="24">
        <f t="shared" si="0"/>
        <v>-0.42597955438288559</v>
      </c>
      <c r="G5" s="12">
        <f>Financials!D5</f>
        <v>-4071.1244214538524</v>
      </c>
      <c r="H5" s="24">
        <f t="shared" si="1"/>
        <v>-0.65018666532164437</v>
      </c>
      <c r="J5" s="12">
        <f>Financials!G5</f>
        <v>-5067.3200928553006</v>
      </c>
      <c r="K5" s="17">
        <f t="shared" si="2"/>
        <v>-0.54949235029228305</v>
      </c>
      <c r="M5" s="19"/>
      <c r="N5" s="17"/>
    </row>
    <row r="6" spans="2:14" x14ac:dyDescent="0.15">
      <c r="B6" s="8" t="s">
        <v>12</v>
      </c>
      <c r="C6" s="10"/>
      <c r="D6" s="13">
        <f>Financials!M6</f>
        <v>5548.7476177511562</v>
      </c>
      <c r="E6" s="25">
        <f t="shared" si="0"/>
        <v>0.57402044561711441</v>
      </c>
      <c r="G6" s="13">
        <f>Financials!D6</f>
        <v>2190.3457664034854</v>
      </c>
      <c r="H6" s="25">
        <f t="shared" si="1"/>
        <v>0.34981333467835568</v>
      </c>
      <c r="J6" s="13">
        <f>Financials!G6</f>
        <v>4154.5009027598671</v>
      </c>
      <c r="K6" s="18">
        <f t="shared" si="2"/>
        <v>0.4505076497077169</v>
      </c>
      <c r="M6" s="52"/>
      <c r="N6" s="53"/>
    </row>
    <row r="7" spans="2:14" x14ac:dyDescent="0.15">
      <c r="B7" s="1" t="s">
        <v>13</v>
      </c>
      <c r="D7" s="12">
        <f>Financials!M7</f>
        <v>-767.08412741628092</v>
      </c>
      <c r="E7" s="24">
        <f t="shared" si="0"/>
        <v>-7.9355199223093587E-2</v>
      </c>
      <c r="G7" s="12">
        <f>Financials!D7</f>
        <v>-579.21862237952632</v>
      </c>
      <c r="H7" s="24">
        <f t="shared" si="1"/>
        <v>-9.2505211236617535E-2</v>
      </c>
      <c r="J7" s="12">
        <f>Financials!G7</f>
        <v>-704.4106267732783</v>
      </c>
      <c r="K7" s="17">
        <f t="shared" si="2"/>
        <v>-7.6385198444885727E-2</v>
      </c>
      <c r="M7" s="19"/>
      <c r="N7" s="17"/>
    </row>
    <row r="8" spans="2:14" x14ac:dyDescent="0.15">
      <c r="B8" s="8" t="s">
        <v>14</v>
      </c>
      <c r="C8" s="10"/>
      <c r="D8" s="13">
        <f>Financials!M8</f>
        <v>4781.663490334875</v>
      </c>
      <c r="E8" s="25">
        <f t="shared" si="0"/>
        <v>0.49466524639402076</v>
      </c>
      <c r="G8" s="13">
        <f>Financials!D8</f>
        <v>1611.1271440239591</v>
      </c>
      <c r="H8" s="25">
        <f t="shared" si="1"/>
        <v>0.25730812344173815</v>
      </c>
      <c r="J8" s="13">
        <f>Financials!G8</f>
        <v>3450.0902759865889</v>
      </c>
      <c r="K8" s="18">
        <f t="shared" si="2"/>
        <v>0.37412245126283117</v>
      </c>
      <c r="M8" s="52"/>
      <c r="N8" s="53"/>
    </row>
    <row r="9" spans="2:14" x14ac:dyDescent="0.15">
      <c r="B9" s="1" t="s">
        <v>18</v>
      </c>
      <c r="C9" s="10"/>
      <c r="D9" s="12">
        <f>Financials!M9</f>
        <v>1008.5407024230873</v>
      </c>
      <c r="E9" s="24">
        <f t="shared" si="0"/>
        <v>0.10433399089478303</v>
      </c>
      <c r="G9" s="12">
        <f>Financials!D9</f>
        <v>513.68635992376801</v>
      </c>
      <c r="H9" s="24">
        <f t="shared" si="1"/>
        <v>8.2039256678079056E-2</v>
      </c>
      <c r="J9" s="19">
        <f>Financials!G9</f>
        <v>304.10110910497809</v>
      </c>
      <c r="K9" s="17">
        <f t="shared" si="2"/>
        <v>3.2976253740944809E-2</v>
      </c>
      <c r="M9" s="19"/>
      <c r="N9" s="17"/>
    </row>
    <row r="10" spans="2:14" x14ac:dyDescent="0.15">
      <c r="B10" s="1" t="s">
        <v>19</v>
      </c>
      <c r="C10" s="10"/>
      <c r="D10" s="19">
        <f>Financials!M10</f>
        <v>-388.43452218894635</v>
      </c>
      <c r="E10" s="24">
        <f t="shared" si="0"/>
        <v>-4.0183726649715028E-2</v>
      </c>
      <c r="G10" s="12">
        <f>Financials!D10</f>
        <v>-0.5181050912060986</v>
      </c>
      <c r="H10" s="24">
        <f t="shared" si="1"/>
        <v>-8.2744958557950604E-5</v>
      </c>
      <c r="J10" s="19">
        <f>Financials!G10</f>
        <v>-190.99819448026827</v>
      </c>
      <c r="K10" s="17">
        <f t="shared" si="2"/>
        <v>-2.0711548681229545E-2</v>
      </c>
      <c r="M10" s="19"/>
      <c r="N10" s="17"/>
    </row>
    <row r="11" spans="2:14" x14ac:dyDescent="0.15">
      <c r="B11" s="1" t="s">
        <v>15</v>
      </c>
      <c r="D11" s="19">
        <f>Financials!M11</f>
        <v>-256.16934386060439</v>
      </c>
      <c r="E11" s="26">
        <f t="shared" si="0"/>
        <v>-2.6500834250577102E-2</v>
      </c>
      <c r="G11" s="19">
        <f>Financials!D11</f>
        <v>-256.85134767220256</v>
      </c>
      <c r="H11" s="26">
        <f t="shared" si="1"/>
        <v>-4.1020932778743545E-2</v>
      </c>
      <c r="J11" s="19">
        <f>Financials!G11</f>
        <v>-521.79520247614141</v>
      </c>
      <c r="K11" s="16">
        <f t="shared" si="2"/>
        <v>-5.6582664391799285E-2</v>
      </c>
      <c r="M11" s="19"/>
      <c r="N11" s="17"/>
    </row>
    <row r="12" spans="2:14" x14ac:dyDescent="0.15">
      <c r="B12" s="1" t="s">
        <v>16</v>
      </c>
      <c r="D12" s="19">
        <f>Financials!M12</f>
        <v>-394.96596787367275</v>
      </c>
      <c r="E12" s="26">
        <f t="shared" si="0"/>
        <v>-4.0859407653925151E-2</v>
      </c>
      <c r="G12" s="19">
        <f>Financials!D12</f>
        <v>-96.699700517288321</v>
      </c>
      <c r="H12" s="26">
        <f t="shared" si="1"/>
        <v>-1.5443609506408711E-2</v>
      </c>
      <c r="J12" s="19">
        <f>Financials!G12</f>
        <v>-513.02553520763479</v>
      </c>
      <c r="K12" s="16">
        <f t="shared" si="2"/>
        <v>-5.5631695242357282E-2</v>
      </c>
      <c r="M12" s="19"/>
      <c r="N12" s="17"/>
    </row>
    <row r="13" spans="2:14" ht="13" thickBot="1" x14ac:dyDescent="0.2">
      <c r="B13" s="11" t="s">
        <v>7</v>
      </c>
      <c r="D13" s="14">
        <f>Financials!M13</f>
        <v>4750.634358834739</v>
      </c>
      <c r="E13" s="27">
        <f t="shared" si="0"/>
        <v>0.49145526873458656</v>
      </c>
      <c r="G13" s="14">
        <f>Financials!D13</f>
        <v>1770.7443506670299</v>
      </c>
      <c r="H13" s="27">
        <f t="shared" si="1"/>
        <v>0.28280009287610697</v>
      </c>
      <c r="J13" s="14">
        <f>Financials!G13</f>
        <v>2528.3724529275223</v>
      </c>
      <c r="K13" s="15">
        <f t="shared" si="2"/>
        <v>0.27417279668838984</v>
      </c>
      <c r="M13" s="52"/>
      <c r="N13" s="53"/>
    </row>
    <row r="15" spans="2:14" x14ac:dyDescent="0.15">
      <c r="B15" s="10" t="s">
        <v>14</v>
      </c>
      <c r="C15" s="10"/>
      <c r="D15" s="41">
        <f>D8</f>
        <v>4781.663490334875</v>
      </c>
      <c r="F15" s="10"/>
      <c r="G15" s="41">
        <f>G8</f>
        <v>1611.1271440239591</v>
      </c>
      <c r="H15" s="10"/>
      <c r="I15" s="10"/>
      <c r="J15" s="41">
        <f>J8</f>
        <v>3450.0902759865889</v>
      </c>
      <c r="K15" s="10"/>
      <c r="L15" s="10"/>
      <c r="M15" s="41"/>
      <c r="N15" s="10"/>
    </row>
    <row r="16" spans="2:14" x14ac:dyDescent="0.15">
      <c r="B16" s="23" t="s">
        <v>102</v>
      </c>
    </row>
    <row r="17" spans="2:14" x14ac:dyDescent="0.15">
      <c r="B17" s="1" t="s">
        <v>37</v>
      </c>
      <c r="D17" s="7">
        <f>-2102.45/3.673</f>
        <v>-572.40675197386327</v>
      </c>
      <c r="G17" s="7">
        <f>-715.4/3.673</f>
        <v>-194.77266539613393</v>
      </c>
      <c r="J17" s="12">
        <f>-331/7.754</f>
        <v>-42.687645086407016</v>
      </c>
      <c r="K17" s="12"/>
      <c r="L17" s="12"/>
      <c r="M17" s="12"/>
    </row>
    <row r="18" spans="2:14" x14ac:dyDescent="0.15">
      <c r="B18" s="1" t="s">
        <v>38</v>
      </c>
      <c r="D18" s="7">
        <f>940.91/3.673</f>
        <v>256.16934386060439</v>
      </c>
      <c r="G18" s="7">
        <f>943.42/3.673</f>
        <v>256.85270895725563</v>
      </c>
      <c r="J18" s="12">
        <f>26/7.754</f>
        <v>3.3531080732525149</v>
      </c>
      <c r="K18" s="12"/>
      <c r="L18" s="12"/>
      <c r="M18" s="12"/>
    </row>
    <row r="19" spans="2:14" x14ac:dyDescent="0.15">
      <c r="B19" s="1" t="s">
        <v>45</v>
      </c>
      <c r="D19" s="7">
        <v>0</v>
      </c>
      <c r="G19" s="7">
        <v>0</v>
      </c>
      <c r="J19" s="7">
        <v>0</v>
      </c>
      <c r="K19" s="12"/>
      <c r="L19" s="12"/>
      <c r="M19" s="7"/>
    </row>
    <row r="20" spans="2:14" x14ac:dyDescent="0.15">
      <c r="B20" s="1" t="s">
        <v>29</v>
      </c>
      <c r="D20" s="7">
        <f>(39.9-229.16)/3.673</f>
        <v>-51.527361829567106</v>
      </c>
      <c r="G20" s="7">
        <f>199.19/3.673</f>
        <v>54.230873945004085</v>
      </c>
      <c r="J20" s="7">
        <f>1400/7.754</f>
        <v>180.55197317513543</v>
      </c>
      <c r="K20" s="12"/>
      <c r="L20" s="12"/>
      <c r="M20" s="7"/>
    </row>
    <row r="21" spans="2:14" x14ac:dyDescent="0.15">
      <c r="B21" s="1" t="s">
        <v>46</v>
      </c>
      <c r="D21" s="7">
        <f>-5.6/3.673</f>
        <v>-1.524639259460931</v>
      </c>
      <c r="G21" s="7">
        <f>(1.9+136.3)/3.673</f>
        <v>37.625918867410839</v>
      </c>
      <c r="J21" s="7">
        <v>0</v>
      </c>
      <c r="K21" s="12"/>
      <c r="L21" s="12"/>
      <c r="M21" s="7"/>
    </row>
    <row r="22" spans="2:14" x14ac:dyDescent="0.15">
      <c r="B22" s="8" t="s">
        <v>20</v>
      </c>
      <c r="D22" s="20">
        <f>SUM(D15:D21)</f>
        <v>4412.3740811325879</v>
      </c>
      <c r="E22" s="25"/>
      <c r="G22" s="20">
        <f>SUM(G15:G21)</f>
        <v>1765.0639803974955</v>
      </c>
      <c r="H22" s="25"/>
      <c r="J22" s="20">
        <f>SUM(J15:J21)</f>
        <v>3591.3077121485699</v>
      </c>
      <c r="K22" s="25"/>
      <c r="M22" s="52"/>
      <c r="N22" s="53"/>
    </row>
    <row r="24" spans="2:14" x14ac:dyDescent="0.15">
      <c r="B24" s="1" t="s">
        <v>21</v>
      </c>
      <c r="D24" s="12">
        <f>General!E5</f>
        <v>28996.967555919997</v>
      </c>
      <c r="E24" s="12"/>
      <c r="G24" s="12">
        <f>General!E7</f>
        <v>16690</v>
      </c>
      <c r="H24" s="12"/>
      <c r="I24" s="12"/>
      <c r="J24" s="12">
        <f>General!E10</f>
        <v>25355.577397500001</v>
      </c>
      <c r="K24" s="12"/>
      <c r="L24" s="12"/>
      <c r="M24" s="12"/>
    </row>
    <row r="25" spans="2:14" x14ac:dyDescent="0.15">
      <c r="B25" s="1" t="s">
        <v>22</v>
      </c>
      <c r="D25" s="12">
        <f>9686/3.673</f>
        <v>2637.0814048461748</v>
      </c>
      <c r="F25" s="12"/>
      <c r="G25" s="12">
        <f>(5430.84+8904.85+919.3)/3.673</f>
        <v>4153.2779744078407</v>
      </c>
      <c r="H25" s="12"/>
      <c r="I25" s="12"/>
      <c r="J25" s="12">
        <f>110866/7.754</f>
        <v>14297.910755738974</v>
      </c>
      <c r="K25" s="12"/>
      <c r="L25" s="12"/>
      <c r="M25" s="12"/>
      <c r="N25" s="12"/>
    </row>
    <row r="26" spans="2:14" x14ac:dyDescent="0.15">
      <c r="B26" s="1" t="s">
        <v>23</v>
      </c>
      <c r="D26" s="12">
        <f>-50056/3.673</f>
        <v>-13628.096923495779</v>
      </c>
      <c r="F26" s="12"/>
      <c r="G26" s="12">
        <f>-15135.99/3.673</f>
        <v>-4120.8793901442959</v>
      </c>
      <c r="H26" s="12"/>
      <c r="I26" s="12"/>
      <c r="J26" s="12">
        <f>-16221/7.754</f>
        <v>-2091.9525406241942</v>
      </c>
      <c r="K26" s="12"/>
      <c r="L26" s="12"/>
      <c r="M26" s="12"/>
      <c r="N26" s="12"/>
    </row>
    <row r="27" spans="2:14" x14ac:dyDescent="0.15">
      <c r="B27" s="28" t="s">
        <v>30</v>
      </c>
      <c r="C27" s="28"/>
      <c r="D27" s="29">
        <f>-D26/D4</f>
        <v>1.409832778105119</v>
      </c>
      <c r="F27" s="28"/>
      <c r="G27" s="29">
        <f>-G26/G4</f>
        <v>0.65813287718526248</v>
      </c>
      <c r="H27" s="28"/>
      <c r="I27" s="28"/>
      <c r="J27" s="29">
        <f>-J26/J4</f>
        <v>0.22684809666321706</v>
      </c>
      <c r="M27" s="63"/>
      <c r="N27" s="28"/>
    </row>
    <row r="28" spans="2:14" x14ac:dyDescent="0.15">
      <c r="B28" s="8" t="s">
        <v>24</v>
      </c>
      <c r="D28" s="20">
        <f>SUM(D24:D26)</f>
        <v>18005.952037270392</v>
      </c>
      <c r="E28" s="25"/>
      <c r="G28" s="20">
        <f>SUM(G24:G26)</f>
        <v>16722.398584263545</v>
      </c>
      <c r="H28" s="25"/>
      <c r="J28" s="20">
        <f>SUM(J24:J26)</f>
        <v>37561.535612614782</v>
      </c>
      <c r="K28" s="25"/>
      <c r="M28" s="52"/>
      <c r="N28" s="53"/>
    </row>
    <row r="29" spans="2:14" x14ac:dyDescent="0.15">
      <c r="B29" s="23" t="s">
        <v>102</v>
      </c>
    </row>
    <row r="30" spans="2:14" x14ac:dyDescent="0.15">
      <c r="B30" s="1" t="s">
        <v>39</v>
      </c>
      <c r="D30" s="12">
        <v>0</v>
      </c>
      <c r="F30" s="12"/>
      <c r="G30" s="12">
        <v>0</v>
      </c>
      <c r="H30" s="12"/>
      <c r="I30" s="12"/>
      <c r="J30" s="12">
        <v>0</v>
      </c>
      <c r="K30" s="12"/>
      <c r="L30" s="12"/>
      <c r="M30" s="12"/>
      <c r="N30" s="12"/>
    </row>
    <row r="31" spans="2:14" x14ac:dyDescent="0.15">
      <c r="B31" s="1" t="s">
        <v>40</v>
      </c>
      <c r="D31" s="12">
        <v>0</v>
      </c>
      <c r="F31" s="12"/>
      <c r="G31" s="12">
        <v>0</v>
      </c>
      <c r="H31" s="12"/>
      <c r="I31" s="12"/>
      <c r="J31" s="12">
        <v>0</v>
      </c>
      <c r="K31" s="12"/>
      <c r="L31" s="12"/>
      <c r="M31" s="12"/>
      <c r="N31" s="12"/>
    </row>
    <row r="32" spans="2:14" x14ac:dyDescent="0.15">
      <c r="B32" s="1" t="s">
        <v>41</v>
      </c>
      <c r="D32" s="12">
        <v>0</v>
      </c>
      <c r="F32" s="12"/>
      <c r="G32" s="12">
        <v>0</v>
      </c>
      <c r="H32" s="12"/>
      <c r="I32" s="12"/>
      <c r="J32" s="12">
        <v>0</v>
      </c>
      <c r="K32" s="12"/>
      <c r="L32" s="12"/>
      <c r="M32" s="12"/>
      <c r="N32" s="12"/>
    </row>
    <row r="33" spans="2:14" x14ac:dyDescent="0.15">
      <c r="B33" s="1" t="s">
        <v>43</v>
      </c>
      <c r="D33" s="12">
        <v>0</v>
      </c>
      <c r="F33" s="12"/>
      <c r="G33" s="12">
        <v>0</v>
      </c>
      <c r="H33" s="12"/>
      <c r="I33" s="12"/>
      <c r="J33" s="12">
        <v>0</v>
      </c>
      <c r="K33" s="12"/>
      <c r="L33" s="12"/>
      <c r="M33" s="12"/>
      <c r="N33" s="12"/>
    </row>
    <row r="34" spans="2:14" x14ac:dyDescent="0.15">
      <c r="B34" s="1" t="s">
        <v>42</v>
      </c>
      <c r="D34" s="12">
        <v>0</v>
      </c>
      <c r="F34" s="12"/>
      <c r="G34" s="12">
        <v>0</v>
      </c>
      <c r="H34" s="12"/>
      <c r="I34" s="12"/>
      <c r="J34" s="12">
        <v>0</v>
      </c>
      <c r="K34" s="12"/>
      <c r="L34" s="12"/>
      <c r="M34" s="12"/>
      <c r="N34" s="12"/>
    </row>
    <row r="35" spans="2:14" x14ac:dyDescent="0.15">
      <c r="B35" s="1" t="s">
        <v>47</v>
      </c>
      <c r="D35" s="12">
        <v>0</v>
      </c>
      <c r="F35" s="12"/>
      <c r="G35" s="12">
        <v>0</v>
      </c>
      <c r="H35" s="12"/>
      <c r="I35" s="12"/>
      <c r="J35" s="12">
        <v>0</v>
      </c>
      <c r="K35" s="12"/>
      <c r="L35" s="12"/>
      <c r="M35" s="12"/>
      <c r="N35" s="12"/>
    </row>
    <row r="36" spans="2:14" x14ac:dyDescent="0.15">
      <c r="B36" s="8" t="s">
        <v>25</v>
      </c>
      <c r="D36" s="20">
        <f>SUM(D28:D35)</f>
        <v>18005.952037270392</v>
      </c>
      <c r="G36" s="20">
        <f>SUM(G28:G35)</f>
        <v>16722.398584263545</v>
      </c>
      <c r="J36" s="20">
        <f>SUM(J28:J35)</f>
        <v>37561.535612614782</v>
      </c>
      <c r="M36" s="52"/>
    </row>
    <row r="38" spans="2:14" ht="13" thickBot="1" x14ac:dyDescent="0.2">
      <c r="B38" s="11" t="s">
        <v>26</v>
      </c>
      <c r="D38" s="21">
        <f>D36/D22</f>
        <v>4.0807854697234882</v>
      </c>
      <c r="E38" s="27"/>
      <c r="G38" s="21">
        <f>G36/G22</f>
        <v>9.4741033582803222</v>
      </c>
      <c r="H38" s="27"/>
      <c r="J38" s="21">
        <f>J36/J22</f>
        <v>10.459013435566305</v>
      </c>
      <c r="K38" s="27"/>
      <c r="M38" s="52"/>
      <c r="N38" s="53"/>
    </row>
    <row r="39" spans="2:14" x14ac:dyDescent="0.15">
      <c r="D39" s="7"/>
      <c r="G39" s="7"/>
      <c r="J39" s="7"/>
      <c r="M39" s="7"/>
    </row>
    <row r="40" spans="2:14" x14ac:dyDescent="0.15">
      <c r="B40" s="10" t="s">
        <v>31</v>
      </c>
      <c r="C40" s="10"/>
      <c r="D40" s="31">
        <f>D24/D13</f>
        <v>6.1038095895539577</v>
      </c>
      <c r="F40" s="10"/>
      <c r="G40" s="31">
        <f>G24/G13</f>
        <v>9.4254147944693241</v>
      </c>
      <c r="H40" s="10"/>
      <c r="I40" s="10"/>
      <c r="J40" s="31">
        <f>J24/J13</f>
        <v>10.028418624851565</v>
      </c>
      <c r="K40" s="10"/>
      <c r="L40" s="10"/>
      <c r="M40" s="31"/>
      <c r="N40" s="10"/>
    </row>
    <row r="41" spans="2:14" x14ac:dyDescent="0.15">
      <c r="D41" s="66" t="s">
        <v>103</v>
      </c>
    </row>
    <row r="42" spans="2:14" x14ac:dyDescent="0.15">
      <c r="D42" s="1" t="s">
        <v>104</v>
      </c>
    </row>
    <row r="45" spans="2:14" x14ac:dyDescent="0.15">
      <c r="D45" s="67" t="s">
        <v>105</v>
      </c>
      <c r="E45" s="67" t="s">
        <v>106</v>
      </c>
      <c r="F45" s="67" t="s">
        <v>20</v>
      </c>
      <c r="G45" s="67" t="s">
        <v>107</v>
      </c>
      <c r="H45" s="67" t="s">
        <v>108</v>
      </c>
    </row>
    <row r="46" spans="2:14" x14ac:dyDescent="0.15">
      <c r="D46" s="68" t="s">
        <v>109</v>
      </c>
      <c r="E46" s="69">
        <f>D38</f>
        <v>4.0807854697234882</v>
      </c>
      <c r="F46" s="71">
        <f>D22</f>
        <v>4412.3740811325879</v>
      </c>
      <c r="G46" s="68">
        <f>E46*F46</f>
        <v>18005.952037270392</v>
      </c>
      <c r="H46" s="68">
        <f>G46*3.673</f>
        <v>66135.861832894152</v>
      </c>
    </row>
    <row r="47" spans="2:14" x14ac:dyDescent="0.15">
      <c r="D47" s="68" t="s">
        <v>110</v>
      </c>
      <c r="E47" s="69">
        <f>G38</f>
        <v>9.4741033582803222</v>
      </c>
      <c r="F47" s="72"/>
      <c r="G47" s="68">
        <f>E47*F46</f>
        <v>41803.288100047299</v>
      </c>
      <c r="H47" s="68">
        <f>G47*3.673</f>
        <v>153543.47719147374</v>
      </c>
    </row>
    <row r="48" spans="2:14" x14ac:dyDescent="0.15">
      <c r="D48" s="68" t="s">
        <v>111</v>
      </c>
      <c r="E48" s="69">
        <f>J38</f>
        <v>10.459013435566305</v>
      </c>
      <c r="F48" s="73"/>
      <c r="G48" s="68">
        <f>E48*F46</f>
        <v>46149.079797310267</v>
      </c>
      <c r="H48" s="68">
        <f>G48*3.673</f>
        <v>169505.57009552061</v>
      </c>
    </row>
  </sheetData>
  <mergeCells count="2">
    <mergeCell ref="D2:E2"/>
    <mergeCell ref="F46:F4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</vt:lpstr>
      <vt:lpstr>Financials</vt:lpstr>
      <vt:lpstr>Adjustments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Arsen Tagibekov</cp:lastModifiedBy>
  <dcterms:created xsi:type="dcterms:W3CDTF">2015-06-05T18:17:20Z</dcterms:created>
  <dcterms:modified xsi:type="dcterms:W3CDTF">2025-04-15T19:32:57Z</dcterms:modified>
</cp:coreProperties>
</file>