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Job Hunting/Projects for CV/Credit Analyst/Project 1 Full Credit Assessment/"/>
    </mc:Choice>
  </mc:AlternateContent>
  <xr:revisionPtr revIDLastSave="0" documentId="13_ncr:1_{D4760C0E-BCDE-9542-84A3-BC7780A52C9B}" xr6:coauthVersionLast="47" xr6:coauthVersionMax="47" xr10:uidLastSave="{00000000-0000-0000-0000-000000000000}"/>
  <bookViews>
    <workbookView xWindow="13760" yWindow="500" windowWidth="28800" windowHeight="16520" activeTab="6" xr2:uid="{00000000-000D-0000-FFFF-FFFF00000000}"/>
  </bookViews>
  <sheets>
    <sheet name="2022 Financials" sheetId="5" r:id="rId1"/>
    <sheet name="2023 Financials" sheetId="3" r:id="rId2"/>
    <sheet name="2024 Financials" sheetId="4" r:id="rId3"/>
    <sheet name="Ratios" sheetId="6" r:id="rId4"/>
    <sheet name="Quantitative Risk" sheetId="7" r:id="rId5"/>
    <sheet name="Qualitative Risk" sheetId="8" r:id="rId6"/>
    <sheet name="Total Risk Score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9" l="1"/>
  <c r="D30" i="9"/>
  <c r="D29" i="9"/>
  <c r="D28" i="9"/>
  <c r="D37" i="9"/>
  <c r="D36" i="9"/>
  <c r="D35" i="9"/>
  <c r="F10" i="9"/>
  <c r="G10" i="9" s="1" a="1"/>
  <c r="G10" i="9" s="1"/>
  <c r="F11" i="9"/>
  <c r="G11" i="9" s="1" a="1"/>
  <c r="G11" i="9" s="1"/>
  <c r="F12" i="9"/>
  <c r="G12" i="9" s="1" a="1"/>
  <c r="G12" i="9" s="1"/>
  <c r="F13" i="9"/>
  <c r="G13" i="9" s="1" a="1"/>
  <c r="G13" i="9" s="1"/>
  <c r="F14" i="9"/>
  <c r="G14" i="9" s="1" a="1"/>
  <c r="G14" i="9" s="1"/>
  <c r="F15" i="9"/>
  <c r="G15" i="9" s="1" a="1"/>
  <c r="G15" i="9" s="1"/>
  <c r="F16" i="9"/>
  <c r="G16" i="9" s="1" a="1"/>
  <c r="G16" i="9" s="1"/>
  <c r="F17" i="9"/>
  <c r="G17" i="9" s="1" a="1"/>
  <c r="G17" i="9" s="1"/>
  <c r="F18" i="9"/>
  <c r="G18" i="9" s="1" a="1"/>
  <c r="G18" i="9" s="1"/>
  <c r="F19" i="9"/>
  <c r="G19" i="9" s="1" a="1"/>
  <c r="G19" i="9" s="1"/>
  <c r="F20" i="9"/>
  <c r="G20" i="9" s="1" a="1"/>
  <c r="G20" i="9" s="1"/>
  <c r="F21" i="9"/>
  <c r="G21" i="9" s="1" a="1"/>
  <c r="G21" i="9" s="1"/>
  <c r="F22" i="9"/>
  <c r="G22" i="9" s="1" a="1"/>
  <c r="G22" i="9" s="1"/>
  <c r="F23" i="9"/>
  <c r="G23" i="9" s="1" a="1"/>
  <c r="G23" i="9" s="1"/>
  <c r="F9" i="9"/>
  <c r="G9" i="9" s="1" a="1"/>
  <c r="G9" i="9" s="1"/>
  <c r="I26" i="8" l="1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H23" i="6" l="1"/>
  <c r="H18" i="7" s="1" a="1"/>
  <c r="H18" i="7" s="1"/>
  <c r="H24" i="6"/>
  <c r="H19" i="7" s="1" a="1"/>
  <c r="H19" i="7" s="1"/>
  <c r="F30" i="6"/>
  <c r="F25" i="7" s="1" a="1"/>
  <c r="F25" i="7" s="1"/>
  <c r="K31" i="6"/>
  <c r="K26" i="7" s="1" a="1"/>
  <c r="K26" i="7" s="1"/>
  <c r="K30" i="6"/>
  <c r="K25" i="7" s="1" a="1"/>
  <c r="K25" i="7" s="1"/>
  <c r="K29" i="6"/>
  <c r="K24" i="7" s="1" a="1"/>
  <c r="K24" i="7" s="1"/>
  <c r="K28" i="6"/>
  <c r="K23" i="7" s="1" a="1"/>
  <c r="K23" i="7" s="1"/>
  <c r="K27" i="6"/>
  <c r="K22" i="7" s="1" a="1"/>
  <c r="K22" i="7" s="1"/>
  <c r="K26" i="6"/>
  <c r="K21" i="7" s="1" a="1"/>
  <c r="K21" i="7" s="1"/>
  <c r="K25" i="6"/>
  <c r="K20" i="7" s="1" a="1"/>
  <c r="K20" i="7" s="1"/>
  <c r="K24" i="6"/>
  <c r="K19" i="7" s="1" a="1"/>
  <c r="K19" i="7" s="1"/>
  <c r="K23" i="6"/>
  <c r="K18" i="7" s="1" a="1"/>
  <c r="K18" i="7" s="1"/>
  <c r="K22" i="6"/>
  <c r="K17" i="7" s="1" a="1"/>
  <c r="K17" i="7" s="1"/>
  <c r="K21" i="6"/>
  <c r="K16" i="7" s="1" a="1"/>
  <c r="K16" i="7" s="1"/>
  <c r="K20" i="6"/>
  <c r="K15" i="7" s="1" a="1"/>
  <c r="K15" i="7" s="1"/>
  <c r="K19" i="6"/>
  <c r="K14" i="7" s="1" a="1"/>
  <c r="K14" i="7" s="1"/>
  <c r="K18" i="6"/>
  <c r="K13" i="7" s="1" a="1"/>
  <c r="K13" i="7" s="1"/>
  <c r="K17" i="6"/>
  <c r="K12" i="7" s="1" a="1"/>
  <c r="K12" i="7" s="1"/>
  <c r="J31" i="6"/>
  <c r="J26" i="7" s="1" a="1"/>
  <c r="J26" i="7" s="1"/>
  <c r="J30" i="6"/>
  <c r="J25" i="7" s="1" a="1"/>
  <c r="J25" i="7" s="1"/>
  <c r="J29" i="6"/>
  <c r="J24" i="7" s="1" a="1"/>
  <c r="J24" i="7" s="1"/>
  <c r="J28" i="6"/>
  <c r="J23" i="7" s="1" a="1"/>
  <c r="J23" i="7" s="1"/>
  <c r="J27" i="6"/>
  <c r="J22" i="7" s="1" a="1"/>
  <c r="J22" i="7" s="1"/>
  <c r="J26" i="6"/>
  <c r="J21" i="7" s="1" a="1"/>
  <c r="J21" i="7" s="1"/>
  <c r="J25" i="6"/>
  <c r="J20" i="7" s="1" a="1"/>
  <c r="J20" i="7" s="1"/>
  <c r="J24" i="6"/>
  <c r="J19" i="7" s="1" a="1"/>
  <c r="J19" i="7" s="1"/>
  <c r="J23" i="6"/>
  <c r="J18" i="7" s="1" a="1"/>
  <c r="J18" i="7" s="1"/>
  <c r="J22" i="6"/>
  <c r="J17" i="7" s="1" a="1"/>
  <c r="J17" i="7" s="1"/>
  <c r="J21" i="6"/>
  <c r="J16" i="7" s="1" a="1"/>
  <c r="J16" i="7" s="1"/>
  <c r="J20" i="6"/>
  <c r="J15" i="7" s="1" a="1"/>
  <c r="J15" i="7" s="1"/>
  <c r="J19" i="6"/>
  <c r="J14" i="7" s="1" a="1"/>
  <c r="J14" i="7" s="1"/>
  <c r="J18" i="6"/>
  <c r="J13" i="7" s="1" a="1"/>
  <c r="J13" i="7" s="1"/>
  <c r="J17" i="6"/>
  <c r="J12" i="7" s="1" a="1"/>
  <c r="J12" i="7" s="1"/>
  <c r="I31" i="6"/>
  <c r="I26" i="7" s="1" a="1"/>
  <c r="I26" i="7" s="1"/>
  <c r="I30" i="6"/>
  <c r="I25" i="7" s="1" a="1"/>
  <c r="I25" i="7" s="1"/>
  <c r="I29" i="6"/>
  <c r="I24" i="7" s="1" a="1"/>
  <c r="I24" i="7" s="1"/>
  <c r="I28" i="6"/>
  <c r="I23" i="7" s="1" a="1"/>
  <c r="I23" i="7" s="1"/>
  <c r="I27" i="6"/>
  <c r="I22" i="7" s="1" a="1"/>
  <c r="I22" i="7" s="1"/>
  <c r="I26" i="6"/>
  <c r="I21" i="7" s="1" a="1"/>
  <c r="I21" i="7" s="1"/>
  <c r="I25" i="6"/>
  <c r="I20" i="7" s="1" a="1"/>
  <c r="I20" i="7" s="1"/>
  <c r="I24" i="6"/>
  <c r="I19" i="7" s="1" a="1"/>
  <c r="I19" i="7" s="1"/>
  <c r="I23" i="6"/>
  <c r="I18" i="7" s="1" a="1"/>
  <c r="I18" i="7" s="1"/>
  <c r="I22" i="6"/>
  <c r="I17" i="7" s="1" a="1"/>
  <c r="I17" i="7" s="1"/>
  <c r="I21" i="6"/>
  <c r="I16" i="7" s="1" a="1"/>
  <c r="I16" i="7" s="1"/>
  <c r="I20" i="6"/>
  <c r="I15" i="7" s="1" a="1"/>
  <c r="I15" i="7" s="1"/>
  <c r="I19" i="6"/>
  <c r="I14" i="7" s="1" a="1"/>
  <c r="I14" i="7" s="1"/>
  <c r="I18" i="6"/>
  <c r="I13" i="7" s="1" a="1"/>
  <c r="I13" i="7" s="1"/>
  <c r="I17" i="6"/>
  <c r="I12" i="7" s="1" a="1"/>
  <c r="I12" i="7" s="1"/>
  <c r="H31" i="6"/>
  <c r="H26" i="7" s="1" a="1"/>
  <c r="H26" i="7" s="1"/>
  <c r="H30" i="6"/>
  <c r="H25" i="7" s="1" a="1"/>
  <c r="H25" i="7" s="1"/>
  <c r="H29" i="6"/>
  <c r="H24" i="7" s="1" a="1"/>
  <c r="H24" i="7" s="1"/>
  <c r="H28" i="6"/>
  <c r="H23" i="7" s="1" a="1"/>
  <c r="H23" i="7" s="1"/>
  <c r="H27" i="6"/>
  <c r="H22" i="7" s="1" a="1"/>
  <c r="H22" i="7" s="1"/>
  <c r="H26" i="6"/>
  <c r="H21" i="7" s="1" a="1"/>
  <c r="H21" i="7" s="1"/>
  <c r="H25" i="6"/>
  <c r="H20" i="7" s="1" a="1"/>
  <c r="H20" i="7" s="1"/>
  <c r="H22" i="6"/>
  <c r="H17" i="7" s="1" a="1"/>
  <c r="H17" i="7" s="1"/>
  <c r="H21" i="6"/>
  <c r="H16" i="7" s="1" a="1"/>
  <c r="H16" i="7" s="1"/>
  <c r="H20" i="6"/>
  <c r="H15" i="7" s="1" a="1"/>
  <c r="H15" i="7" s="1"/>
  <c r="H19" i="6"/>
  <c r="H14" i="7" s="1" a="1"/>
  <c r="H14" i="7" s="1"/>
  <c r="H18" i="6"/>
  <c r="H13" i="7" s="1" a="1"/>
  <c r="H13" i="7" s="1"/>
  <c r="H17" i="6"/>
  <c r="H12" i="7" s="1" a="1"/>
  <c r="H12" i="7" s="1"/>
  <c r="G31" i="6"/>
  <c r="G26" i="7" s="1" a="1"/>
  <c r="G26" i="7" s="1"/>
  <c r="G30" i="6"/>
  <c r="G25" i="7" s="1" a="1"/>
  <c r="G25" i="7" s="1"/>
  <c r="G29" i="6"/>
  <c r="G24" i="7" s="1" a="1"/>
  <c r="G24" i="7" s="1"/>
  <c r="G28" i="6"/>
  <c r="G23" i="7" s="1" a="1"/>
  <c r="G23" i="7" s="1"/>
  <c r="G27" i="6"/>
  <c r="G22" i="7" s="1" a="1"/>
  <c r="G22" i="7" s="1"/>
  <c r="G26" i="6"/>
  <c r="G21" i="7" s="1" a="1"/>
  <c r="G21" i="7" s="1"/>
  <c r="G25" i="6"/>
  <c r="G20" i="7" s="1" a="1"/>
  <c r="G20" i="7" s="1"/>
  <c r="G24" i="6"/>
  <c r="G19" i="7" s="1" a="1"/>
  <c r="G19" i="7" s="1"/>
  <c r="G23" i="6"/>
  <c r="G18" i="7" s="1" a="1"/>
  <c r="G18" i="7" s="1"/>
  <c r="G22" i="6"/>
  <c r="G17" i="7" s="1" a="1"/>
  <c r="G17" i="7" s="1"/>
  <c r="G21" i="6"/>
  <c r="G16" i="7" s="1" a="1"/>
  <c r="G16" i="7" s="1"/>
  <c r="G20" i="6"/>
  <c r="G15" i="7" s="1" a="1"/>
  <c r="G15" i="7" s="1"/>
  <c r="G19" i="6"/>
  <c r="G14" i="7" s="1" a="1"/>
  <c r="G14" i="7" s="1"/>
  <c r="G18" i="6"/>
  <c r="G13" i="7" s="1" a="1"/>
  <c r="G13" i="7" s="1"/>
  <c r="G17" i="6"/>
  <c r="G12" i="7" s="1" a="1"/>
  <c r="G12" i="7" s="1"/>
  <c r="F31" i="6"/>
  <c r="F26" i="7" s="1" a="1"/>
  <c r="F26" i="7" s="1"/>
  <c r="F29" i="6"/>
  <c r="F24" i="7" s="1" a="1"/>
  <c r="F24" i="7" s="1"/>
  <c r="F28" i="6"/>
  <c r="F23" i="7" s="1" a="1"/>
  <c r="F23" i="7" s="1"/>
  <c r="F27" i="6"/>
  <c r="F22" i="7" s="1" a="1"/>
  <c r="F22" i="7" s="1"/>
  <c r="F26" i="6"/>
  <c r="F21" i="7" s="1" a="1"/>
  <c r="F21" i="7" s="1"/>
  <c r="F25" i="6"/>
  <c r="F20" i="7" s="1" a="1"/>
  <c r="F20" i="7" s="1"/>
  <c r="F24" i="6"/>
  <c r="F19" i="7" s="1" a="1"/>
  <c r="F19" i="7" s="1"/>
  <c r="F23" i="6"/>
  <c r="F18" i="7" s="1" a="1"/>
  <c r="F18" i="7" s="1"/>
  <c r="F22" i="6"/>
  <c r="F17" i="7" s="1" a="1"/>
  <c r="F17" i="7" s="1"/>
  <c r="F21" i="6"/>
  <c r="F16" i="7" s="1" a="1"/>
  <c r="F16" i="7" s="1"/>
  <c r="F20" i="6"/>
  <c r="F15" i="7" s="1" a="1"/>
  <c r="F15" i="7" s="1"/>
  <c r="F19" i="6"/>
  <c r="F14" i="7" s="1" a="1"/>
  <c r="F14" i="7" s="1"/>
  <c r="F18" i="6"/>
  <c r="F13" i="7" s="1" a="1"/>
  <c r="F13" i="7" s="1"/>
  <c r="F17" i="6"/>
  <c r="F12" i="7" s="1" a="1"/>
  <c r="F12" i="7" s="1"/>
  <c r="E31" i="6"/>
  <c r="E26" i="7" s="1" a="1"/>
  <c r="E26" i="7" s="1"/>
  <c r="E30" i="6"/>
  <c r="E25" i="7" s="1" a="1"/>
  <c r="E25" i="7" s="1"/>
  <c r="E29" i="6"/>
  <c r="E24" i="7" s="1" a="1"/>
  <c r="E24" i="7" s="1"/>
  <c r="E28" i="6"/>
  <c r="E23" i="7" s="1" a="1"/>
  <c r="E23" i="7" s="1"/>
  <c r="E27" i="6"/>
  <c r="E22" i="7" s="1" a="1"/>
  <c r="E22" i="7" s="1"/>
  <c r="E26" i="6"/>
  <c r="E21" i="7" s="1" a="1"/>
  <c r="E21" i="7" s="1"/>
  <c r="E25" i="6"/>
  <c r="E20" i="7" s="1" a="1"/>
  <c r="E20" i="7" s="1"/>
  <c r="E24" i="6"/>
  <c r="E19" i="7" s="1" a="1"/>
  <c r="E19" i="7" s="1"/>
  <c r="E23" i="6"/>
  <c r="E18" i="7" s="1" a="1"/>
  <c r="E18" i="7" s="1"/>
  <c r="E22" i="6"/>
  <c r="E17" i="7" s="1" a="1"/>
  <c r="E17" i="7" s="1"/>
  <c r="E21" i="6"/>
  <c r="E16" i="7" s="1" a="1"/>
  <c r="E16" i="7" s="1"/>
  <c r="E20" i="6"/>
  <c r="E15" i="7" s="1" a="1"/>
  <c r="E15" i="7" s="1"/>
  <c r="E19" i="6"/>
  <c r="E14" i="7" s="1" a="1"/>
  <c r="E14" i="7" s="1"/>
  <c r="E18" i="6"/>
  <c r="E13" i="7" s="1" a="1"/>
  <c r="E13" i="7" s="1"/>
  <c r="E17" i="6"/>
  <c r="E12" i="7" s="1" a="1"/>
  <c r="E12" i="7" s="1"/>
  <c r="D31" i="6"/>
  <c r="D26" i="7" s="1" a="1"/>
  <c r="D26" i="7" s="1"/>
  <c r="D30" i="6"/>
  <c r="D25" i="7" s="1" a="1"/>
  <c r="D25" i="7" s="1"/>
  <c r="D29" i="6"/>
  <c r="D24" i="7" s="1" a="1"/>
  <c r="D24" i="7" s="1"/>
  <c r="D28" i="6"/>
  <c r="D23" i="7" s="1" a="1"/>
  <c r="D23" i="7" s="1"/>
  <c r="D27" i="6"/>
  <c r="D22" i="7" s="1" a="1"/>
  <c r="D22" i="7" s="1"/>
  <c r="D26" i="6"/>
  <c r="D21" i="7" s="1" a="1"/>
  <c r="D21" i="7" s="1"/>
  <c r="D25" i="6"/>
  <c r="D20" i="7" s="1" a="1"/>
  <c r="D20" i="7" s="1"/>
  <c r="D24" i="6"/>
  <c r="D19" i="7" s="1" a="1"/>
  <c r="D19" i="7" s="1"/>
  <c r="D23" i="6"/>
  <c r="D18" i="7" s="1" a="1"/>
  <c r="D18" i="7" s="1"/>
  <c r="D22" i="6"/>
  <c r="D17" i="7" s="1" a="1"/>
  <c r="D17" i="7" s="1"/>
  <c r="D21" i="6"/>
  <c r="D16" i="7" s="1" a="1"/>
  <c r="D16" i="7" s="1"/>
  <c r="D20" i="6"/>
  <c r="D15" i="7" s="1" a="1"/>
  <c r="D15" i="7" s="1"/>
  <c r="D19" i="6"/>
  <c r="D14" i="7" s="1" a="1"/>
  <c r="D14" i="7" s="1"/>
  <c r="D18" i="6"/>
  <c r="D13" i="7" s="1" a="1"/>
  <c r="D13" i="7" s="1"/>
  <c r="D17" i="6"/>
  <c r="D12" i="7" s="1" a="1"/>
  <c r="D12" i="7" s="1"/>
  <c r="F8" i="5"/>
  <c r="F9" i="5"/>
  <c r="L12" i="7" l="1"/>
  <c r="M12" i="7" s="1" a="1"/>
  <c r="M12" i="7" s="1"/>
  <c r="L20" i="7"/>
  <c r="M20" i="7" s="1" a="1"/>
  <c r="M20" i="7" s="1"/>
  <c r="L13" i="7"/>
  <c r="M13" i="7" s="1" a="1"/>
  <c r="M13" i="7" s="1"/>
  <c r="L21" i="7"/>
  <c r="M21" i="7" s="1" a="1"/>
  <c r="M21" i="7" s="1"/>
  <c r="L16" i="7"/>
  <c r="M16" i="7" s="1" a="1"/>
  <c r="M16" i="7" s="1"/>
  <c r="L17" i="7"/>
  <c r="M17" i="7" s="1" a="1"/>
  <c r="M17" i="7" s="1"/>
  <c r="L25" i="7"/>
  <c r="M25" i="7" s="1" a="1"/>
  <c r="M25" i="7" s="1"/>
  <c r="L22" i="7"/>
  <c r="M22" i="7" s="1" a="1"/>
  <c r="M22" i="7" s="1"/>
  <c r="L23" i="7"/>
  <c r="M23" i="7" s="1" a="1"/>
  <c r="M23" i="7" s="1"/>
  <c r="L18" i="7"/>
  <c r="M18" i="7" s="1" a="1"/>
  <c r="M18" i="7" s="1"/>
  <c r="L26" i="7"/>
  <c r="M26" i="7" s="1" a="1"/>
  <c r="M26" i="7" s="1"/>
  <c r="L14" i="7"/>
  <c r="M14" i="7" s="1" a="1"/>
  <c r="M14" i="7" s="1"/>
  <c r="L15" i="7"/>
  <c r="M15" i="7" s="1" a="1"/>
  <c r="M15" i="7" s="1"/>
  <c r="L24" i="7"/>
  <c r="M24" i="7" s="1" a="1"/>
  <c r="M24" i="7" s="1"/>
  <c r="L19" i="7"/>
  <c r="M19" i="7" s="1" a="1"/>
  <c r="M19" i="7" s="1"/>
  <c r="N12" i="4"/>
  <c r="M12" i="4"/>
  <c r="N12" i="3"/>
  <c r="M12" i="3"/>
  <c r="N12" i="5"/>
  <c r="M12" i="5"/>
  <c r="K12" i="4"/>
  <c r="J12" i="4"/>
  <c r="L12" i="4"/>
  <c r="I12" i="4"/>
  <c r="H12" i="4"/>
  <c r="L12" i="3"/>
  <c r="I12" i="3"/>
  <c r="H12" i="3"/>
  <c r="K12" i="3"/>
  <c r="J12" i="3"/>
  <c r="K12" i="5"/>
  <c r="J12" i="5"/>
  <c r="L12" i="5"/>
  <c r="I12" i="5"/>
  <c r="H12" i="5"/>
  <c r="G12" i="4"/>
  <c r="F12" i="4"/>
  <c r="E12" i="4"/>
  <c r="D12" i="4"/>
  <c r="C12" i="4"/>
  <c r="G12" i="3"/>
  <c r="F12" i="3"/>
  <c r="E12" i="3"/>
  <c r="D12" i="3"/>
  <c r="C12" i="3"/>
  <c r="G12" i="5"/>
  <c r="F12" i="5"/>
  <c r="E12" i="5"/>
  <c r="D12" i="5"/>
  <c r="C12" i="5"/>
  <c r="N11" i="4"/>
  <c r="M11" i="4"/>
  <c r="N11" i="3"/>
  <c r="M11" i="3"/>
  <c r="N11" i="5"/>
  <c r="M11" i="5"/>
  <c r="L11" i="4"/>
  <c r="K11" i="4"/>
  <c r="J11" i="4"/>
  <c r="I11" i="4"/>
  <c r="H11" i="4"/>
  <c r="K11" i="3"/>
  <c r="J11" i="3"/>
  <c r="I11" i="3"/>
  <c r="H11" i="3"/>
  <c r="L11" i="3"/>
  <c r="L11" i="5"/>
  <c r="K11" i="5"/>
  <c r="J11" i="5"/>
  <c r="I11" i="5"/>
  <c r="H11" i="5"/>
  <c r="G11" i="4"/>
  <c r="F11" i="4"/>
  <c r="E11" i="4"/>
  <c r="D11" i="4"/>
  <c r="C11" i="4"/>
  <c r="G11" i="3"/>
  <c r="F11" i="3"/>
  <c r="E11" i="3"/>
  <c r="E11" i="5"/>
  <c r="D11" i="3"/>
  <c r="C11" i="3"/>
  <c r="G11" i="5"/>
  <c r="F11" i="5"/>
  <c r="D11" i="5"/>
  <c r="C11" i="5"/>
  <c r="N10" i="4"/>
  <c r="M10" i="4"/>
  <c r="N10" i="3"/>
  <c r="M10" i="3"/>
  <c r="N10" i="5"/>
  <c r="M10" i="5"/>
  <c r="L10" i="4"/>
  <c r="K10" i="4"/>
  <c r="J10" i="4"/>
  <c r="I10" i="4"/>
  <c r="H10" i="4"/>
  <c r="G10" i="4"/>
  <c r="F10" i="4"/>
  <c r="E10" i="4"/>
  <c r="D10" i="4"/>
  <c r="C10" i="4"/>
  <c r="L10" i="3"/>
  <c r="J10" i="3"/>
  <c r="I10" i="3"/>
  <c r="K10" i="5"/>
  <c r="K10" i="3"/>
  <c r="H10" i="3"/>
  <c r="G10" i="3"/>
  <c r="F10" i="3"/>
  <c r="E10" i="3"/>
  <c r="D10" i="3"/>
  <c r="C10" i="3"/>
  <c r="L10" i="5"/>
  <c r="H10" i="5"/>
  <c r="J10" i="5"/>
  <c r="I10" i="5"/>
  <c r="G10" i="5"/>
  <c r="F10" i="5"/>
  <c r="E10" i="5"/>
  <c r="D10" i="5"/>
  <c r="C10" i="5"/>
  <c r="N9" i="4"/>
  <c r="M9" i="4"/>
  <c r="L9" i="4"/>
  <c r="K9" i="4"/>
  <c r="J9" i="4"/>
  <c r="I9" i="4"/>
  <c r="H9" i="4"/>
  <c r="G9" i="4"/>
  <c r="F9" i="4"/>
  <c r="E9" i="4"/>
  <c r="D9" i="4"/>
  <c r="C9" i="4"/>
  <c r="N9" i="3"/>
  <c r="N9" i="5"/>
  <c r="M9" i="3"/>
  <c r="M9" i="5"/>
  <c r="L9" i="3"/>
  <c r="K9" i="3"/>
  <c r="J9" i="3"/>
  <c r="L9" i="5"/>
  <c r="K9" i="5"/>
  <c r="J9" i="5"/>
  <c r="I9" i="3"/>
  <c r="H9" i="3"/>
  <c r="I9" i="5"/>
  <c r="H9" i="5"/>
  <c r="G8" i="4"/>
  <c r="F8" i="4"/>
  <c r="G8" i="3"/>
  <c r="F8" i="3"/>
  <c r="G9" i="3"/>
  <c r="F9" i="3"/>
  <c r="E9" i="3"/>
  <c r="D9" i="3"/>
  <c r="C9" i="3"/>
  <c r="G9" i="5"/>
  <c r="G8" i="5"/>
  <c r="E9" i="5"/>
  <c r="D9" i="5"/>
  <c r="D8" i="5"/>
  <c r="C9" i="5"/>
  <c r="N8" i="4"/>
  <c r="M8" i="4"/>
  <c r="N8" i="3"/>
  <c r="M8" i="3"/>
  <c r="N8" i="5"/>
  <c r="M8" i="5"/>
  <c r="L8" i="4"/>
  <c r="K8" i="4"/>
  <c r="J8" i="4"/>
  <c r="I8" i="4"/>
  <c r="H8" i="4"/>
  <c r="L8" i="3"/>
  <c r="L8" i="5"/>
  <c r="K8" i="3"/>
  <c r="J8" i="3"/>
  <c r="I8" i="3"/>
  <c r="H8" i="3"/>
  <c r="E8" i="4"/>
  <c r="D8" i="4"/>
  <c r="C8" i="4"/>
  <c r="E8" i="3"/>
  <c r="D8" i="3"/>
  <c r="C8" i="3"/>
  <c r="K8" i="5"/>
  <c r="J8" i="5"/>
  <c r="I8" i="5"/>
  <c r="H8" i="5"/>
  <c r="E8" i="5"/>
  <c r="C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Arsen Tagibekov</author>
  </authors>
  <commentList>
    <comment ref="D14" authorId="0" shapeId="0" xr:uid="{DCFB4B80-C47C-F642-9344-5C45E22F1000}">
      <text>
        <r>
          <rPr>
            <b/>
            <sz val="10"/>
            <color rgb="FF000000"/>
            <rFont val="Tahoma"/>
            <family val="2"/>
          </rPr>
          <t xml:space="preserve">Current Ratio Range:
</t>
        </r>
        <r>
          <rPr>
            <sz val="10"/>
            <color rgb="FF000000"/>
            <rFont val="Tahoma"/>
            <family val="2"/>
          </rPr>
          <t xml:space="preserve">1,5 - 3,0 = Safe
</t>
        </r>
        <r>
          <rPr>
            <sz val="10"/>
            <color rgb="FF000000"/>
            <rFont val="Tahoma"/>
            <family val="2"/>
          </rPr>
          <t xml:space="preserve">1,0 - 1,5 = Caution
</t>
        </r>
        <r>
          <rPr>
            <sz val="10"/>
            <color rgb="FF000000"/>
            <rFont val="Tahoma"/>
            <family val="2"/>
          </rPr>
          <t xml:space="preserve">&lt; 1,0 = Risky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Quick Ratio Range:
</t>
        </r>
        <r>
          <rPr>
            <sz val="10"/>
            <color rgb="FF000000"/>
            <rFont val="Tahoma"/>
            <family val="2"/>
          </rPr>
          <t xml:space="preserve">1,0 - 2,0 = Strong
</t>
        </r>
        <r>
          <rPr>
            <sz val="10"/>
            <color rgb="FF000000"/>
            <rFont val="Tahoma"/>
            <family val="2"/>
          </rPr>
          <t xml:space="preserve">0,5 - 1,0 = Caution
</t>
        </r>
        <r>
          <rPr>
            <sz val="10"/>
            <color rgb="FF000000"/>
            <rFont val="Tahoma"/>
            <family val="2"/>
          </rPr>
          <t>&lt; 0,5 = Weak</t>
        </r>
      </text>
    </comment>
    <comment ref="F14" authorId="0" shapeId="0" xr:uid="{84831105-193F-8441-AA00-7CBF15CF5712}">
      <text>
        <r>
          <rPr>
            <b/>
            <sz val="10"/>
            <color rgb="FF000000"/>
            <rFont val="Tahoma"/>
            <family val="2"/>
          </rPr>
          <t xml:space="preserve">Debt-to-Equity Range:
</t>
        </r>
        <r>
          <rPr>
            <sz val="10"/>
            <color rgb="FF000000"/>
            <rFont val="Tahoma"/>
            <family val="2"/>
          </rPr>
          <t xml:space="preserve">&lt; 1,5 = Good
</t>
        </r>
        <r>
          <rPr>
            <sz val="10"/>
            <color rgb="FF000000"/>
            <rFont val="Tahoma"/>
            <family val="2"/>
          </rPr>
          <t xml:space="preserve">1,5 - 2,5 = Leveraged
</t>
        </r>
        <r>
          <rPr>
            <sz val="10"/>
            <color rgb="FF000000"/>
            <rFont val="Tahoma"/>
            <family val="2"/>
          </rPr>
          <t xml:space="preserve">&gt; 2,5 = High Risk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Interest Coverage Ratio Range:
</t>
        </r>
        <r>
          <rPr>
            <sz val="10"/>
            <color rgb="FF000000"/>
            <rFont val="Tahoma"/>
            <family val="2"/>
          </rPr>
          <t xml:space="preserve">&gt; 5x = Safe
</t>
        </r>
        <r>
          <rPr>
            <sz val="10"/>
            <color rgb="FF000000"/>
            <rFont val="Tahoma"/>
            <family val="2"/>
          </rPr>
          <t xml:space="preserve">2 - 5x = Watchlist
</t>
        </r>
        <r>
          <rPr>
            <sz val="10"/>
            <color rgb="FF000000"/>
            <rFont val="Tahoma"/>
            <family val="2"/>
          </rPr>
          <t>&lt; 2x = Distress</t>
        </r>
      </text>
    </comment>
    <comment ref="H14" authorId="0" shapeId="0" xr:uid="{C4EB5D70-2CF4-D44C-8C97-265EC64DC626}">
      <text>
        <r>
          <rPr>
            <b/>
            <sz val="10"/>
            <color rgb="FF000000"/>
            <rFont val="Tahoma"/>
            <family val="2"/>
          </rPr>
          <t xml:space="preserve">Net Profit Margin Range:
</t>
        </r>
        <r>
          <rPr>
            <sz val="10"/>
            <color rgb="FF000000"/>
            <rFont val="Tahoma"/>
            <family val="2"/>
          </rPr>
          <t xml:space="preserve">&gt; 10% = Strong
</t>
        </r>
        <r>
          <rPr>
            <sz val="10"/>
            <color rgb="FF000000"/>
            <rFont val="Tahoma"/>
            <family val="2"/>
          </rPr>
          <t xml:space="preserve">5 - 10% = Average
</t>
        </r>
        <r>
          <rPr>
            <sz val="10"/>
            <color rgb="FF000000"/>
            <rFont val="Tahoma"/>
            <family val="2"/>
          </rPr>
          <t xml:space="preserve">&lt; 5% = Weak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ROA Range:
</t>
        </r>
        <r>
          <rPr>
            <sz val="10"/>
            <color rgb="FF000000"/>
            <rFont val="Tahoma"/>
            <family val="2"/>
          </rPr>
          <t xml:space="preserve">&gt; 5% = Strong
</t>
        </r>
        <r>
          <rPr>
            <sz val="10"/>
            <color rgb="FF000000"/>
            <rFont val="Tahoma"/>
            <family val="2"/>
          </rPr>
          <t xml:space="preserve">2 - 5% = Normal
</t>
        </r>
        <r>
          <rPr>
            <sz val="10"/>
            <color rgb="FF000000"/>
            <rFont val="Tahoma"/>
            <family val="2"/>
          </rPr>
          <t xml:space="preserve">&lt; 2% = Weak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ROE Range:
</t>
        </r>
        <r>
          <rPr>
            <sz val="10"/>
            <color rgb="FF000000"/>
            <rFont val="Tahoma"/>
            <family val="2"/>
          </rPr>
          <t xml:space="preserve">&gt; 15% = Strong
</t>
        </r>
        <r>
          <rPr>
            <sz val="10"/>
            <color rgb="FF000000"/>
            <rFont val="Tahoma"/>
            <family val="2"/>
          </rPr>
          <t xml:space="preserve">8 - 15% = Acceptable
</t>
        </r>
        <r>
          <rPr>
            <sz val="10"/>
            <color rgb="FF000000"/>
            <rFont val="Tahoma"/>
            <family val="2"/>
          </rPr>
          <t>&lt; 8% = Weak</t>
        </r>
      </text>
    </comment>
    <comment ref="K14" authorId="0" shapeId="0" xr:uid="{F7943918-03AF-B64E-AA0E-CB3BC44B819D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Asset Turnover Range:
</t>
        </r>
        <r>
          <rPr>
            <sz val="10"/>
            <color rgb="FF000000"/>
            <rFont val="Tahoma"/>
            <family val="2"/>
          </rPr>
          <t xml:space="preserve">&gt; 1,0 = High Efficiency
</t>
        </r>
        <r>
          <rPr>
            <sz val="10"/>
            <color rgb="FF000000"/>
            <rFont val="Tahoma"/>
            <family val="2"/>
          </rPr>
          <t xml:space="preserve">0,5 - 1,0 = Average
</t>
        </r>
        <r>
          <rPr>
            <sz val="10"/>
            <color rgb="FF000000"/>
            <rFont val="Tahoma"/>
            <family val="2"/>
          </rPr>
          <t>&lt; 0,5 = Poor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Arsen Tagibekov</author>
  </authors>
  <commentList>
    <comment ref="D10" authorId="0" shapeId="0" xr:uid="{74EA0B10-E44A-7444-B531-13EA9D77D175}">
      <text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UAE</t>
        </r>
        <r>
          <rPr>
            <sz val="10"/>
            <color rgb="FF000000"/>
            <rFont val="Tahoma"/>
            <family val="2"/>
          </rPr>
          <t xml:space="preserve"> is very stable, low inflation, no currency risk </t>
        </r>
        <r>
          <rPr>
            <b/>
            <sz val="10"/>
            <color rgb="FF000000"/>
            <rFont val="Tahoma"/>
            <family val="2"/>
          </rPr>
          <t xml:space="preserve">(Score: 5)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Saudi Arabia </t>
        </r>
        <r>
          <rPr>
            <sz val="10"/>
            <color rgb="FF000000"/>
            <rFont val="Tahoma"/>
            <family val="2"/>
          </rPr>
          <t xml:space="preserve">is stable but more politically centralized, oil-driven </t>
        </r>
        <r>
          <rPr>
            <b/>
            <sz val="10"/>
            <color rgb="FF000000"/>
            <rFont val="Tahoma"/>
            <family val="2"/>
          </rPr>
          <t xml:space="preserve">(Score:4)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Qatar</t>
        </r>
        <r>
          <rPr>
            <sz val="10"/>
            <color rgb="FF000000"/>
            <rFont val="Tahoma"/>
            <family val="2"/>
          </rPr>
          <t xml:space="preserve"> has strong macro, some historical diplomatic tension </t>
        </r>
        <r>
          <rPr>
            <b/>
            <sz val="10"/>
            <color rgb="FF000000"/>
            <rFont val="Tahoma"/>
            <family val="2"/>
          </rPr>
          <t>(Score:4)</t>
        </r>
      </text>
    </comment>
    <comment ref="E10" authorId="0" shapeId="0" xr:uid="{68A836AA-F7B5-2040-A0D5-EC7D12FA4463}">
      <text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Telecom Services </t>
        </r>
        <r>
          <rPr>
            <sz val="10"/>
            <color rgb="FF000000"/>
            <rFont val="Tahoma"/>
            <family val="2"/>
          </rPr>
          <t xml:space="preserve">has high barriers to entry, steady cash flows </t>
        </r>
        <r>
          <rPr>
            <b/>
            <sz val="10"/>
            <color rgb="FF000000"/>
            <rFont val="Tahoma"/>
            <family val="2"/>
          </rPr>
          <t xml:space="preserve">(Score: 4)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Banking</t>
        </r>
        <r>
          <rPr>
            <sz val="10"/>
            <color rgb="FF000000"/>
            <rFont val="Tahoma"/>
            <family val="2"/>
          </rPr>
          <t xml:space="preserve"> is heavily regulated, exposed to NPL (non-performing loan) cycles </t>
        </r>
        <r>
          <rPr>
            <b/>
            <sz val="10"/>
            <color rgb="FF000000"/>
            <rFont val="Tahoma"/>
            <family val="2"/>
          </rPr>
          <t xml:space="preserve">(Score: 3)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Chemicals</t>
        </r>
        <r>
          <rPr>
            <sz val="10"/>
            <color rgb="FF000000"/>
            <rFont val="Tahoma"/>
            <family val="2"/>
          </rPr>
          <t xml:space="preserve"> Industry is cyclical with global commodity linkages </t>
        </r>
        <r>
          <rPr>
            <b/>
            <sz val="10"/>
            <color rgb="FF000000"/>
            <rFont val="Tahoma"/>
            <family val="2"/>
          </rPr>
          <t xml:space="preserve">(Score: 3)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Real Estate </t>
        </r>
        <r>
          <rPr>
            <sz val="10"/>
            <color rgb="FF000000"/>
            <rFont val="Tahoma"/>
            <family val="2"/>
          </rPr>
          <t>is highly cyclical, sensitive to interest rates (2022 Score: 2, due to recovery from Covid, and 2023-2024 Score: 3, due to better real estate outlook.</t>
        </r>
      </text>
    </comment>
    <comment ref="F10" authorId="0" shapeId="0" xr:uid="{AA6DEF91-F256-F54C-94E3-F06B6A0A5E87}">
      <text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Emaar</t>
        </r>
        <r>
          <rPr>
            <sz val="10"/>
            <color rgb="FF000000"/>
            <rFont val="Tahoma"/>
            <family val="2"/>
          </rPr>
          <t xml:space="preserve"> is flagship developer in Dubai, strong brand </t>
        </r>
        <r>
          <rPr>
            <b/>
            <sz val="10"/>
            <color rgb="FF000000"/>
            <rFont val="Tahoma"/>
            <family val="2"/>
          </rPr>
          <t xml:space="preserve">(Score: 4)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SABIC</t>
        </r>
        <r>
          <rPr>
            <sz val="10"/>
            <color rgb="FF000000"/>
            <rFont val="Tahoma"/>
            <family val="2"/>
          </rPr>
          <t xml:space="preserve"> is a global player, part of Aramco group </t>
        </r>
        <r>
          <rPr>
            <b/>
            <sz val="10"/>
            <color rgb="FF000000"/>
            <rFont val="Tahoma"/>
            <family val="2"/>
          </rPr>
          <t xml:space="preserve">(Score: 5)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Emirates NBD</t>
        </r>
        <r>
          <rPr>
            <sz val="10"/>
            <color rgb="FF000000"/>
            <rFont val="Tahoma"/>
            <family val="2"/>
          </rPr>
          <t xml:space="preserve"> is one of top UAE banks (Score: 5)
</t>
        </r>
        <r>
          <rPr>
            <sz val="10"/>
            <color rgb="FF000000"/>
            <rFont val="Tahoma"/>
            <family val="2"/>
          </rPr>
          <t xml:space="preserve">- STC is dominant Saudi Telecom company </t>
        </r>
        <r>
          <rPr>
            <b/>
            <sz val="10"/>
            <color rgb="FF000000"/>
            <rFont val="Tahoma"/>
            <family val="2"/>
          </rPr>
          <t xml:space="preserve">(Score: 5)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Ooredoo</t>
        </r>
        <r>
          <rPr>
            <sz val="10"/>
            <color rgb="FF000000"/>
            <rFont val="Tahoma"/>
            <family val="2"/>
          </rPr>
          <t xml:space="preserve"> is large but more fragmented across countries: Qatar, Kuwait, Oman, Iraq, palestine, Maldives, Algeria, and Tunisia </t>
        </r>
        <r>
          <rPr>
            <b/>
            <sz val="10"/>
            <color rgb="FF000000"/>
            <rFont val="Tahoma"/>
            <family val="2"/>
          </rPr>
          <t>(Score: 3-4)</t>
        </r>
      </text>
    </comment>
    <comment ref="G10" authorId="0" shapeId="0" xr:uid="{08521CC5-1A36-1340-B9DF-42118EE269DD}">
      <text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Emaar Properties</t>
        </r>
        <r>
          <rPr>
            <sz val="10"/>
            <color rgb="FF000000"/>
            <rFont val="Tahoma"/>
            <family val="2"/>
          </rPr>
          <t xml:space="preserve"> is historically less transparent in disclosures, Fitch Ratings assigned a score of 3 for Financial Transparency, which reflects moderate concerns regarding the quality and timing of financial disclosures. (https://properties.emaar.com/wp-content/uploads/2024/07/Fitch-Emaar-Properties-PJSC-2024-07-12.pdf)  Moody's expressed same concerns. (https://properties.emaar.com/wp-content/uploads/2024/07/Moodys-Ratings_Emaar-Properties_July-24.pdf). </t>
        </r>
        <r>
          <rPr>
            <b/>
            <sz val="10"/>
            <color rgb="FF000000"/>
            <rFont val="Tahoma"/>
            <family val="2"/>
          </rPr>
          <t xml:space="preserve">(Score: 3)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SABIC </t>
        </r>
        <r>
          <rPr>
            <sz val="10"/>
            <color rgb="FF000000"/>
            <rFont val="Tahoma"/>
            <family val="2"/>
          </rPr>
          <t xml:space="preserve">is highly transparent, earned the Compliance Leader Verification for 2024 and 2025, marking its third consecutive verification (https://www.sabic.com/en/reports/integrated-report-2023/at-a-glance/selected-2023-awards-and-recognitions) </t>
        </r>
        <r>
          <rPr>
            <b/>
            <sz val="10"/>
            <color rgb="FF000000"/>
            <rFont val="Tahoma"/>
            <family val="2"/>
          </rPr>
          <t xml:space="preserve">(Score: 5)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Emirates NBD</t>
        </r>
        <r>
          <rPr>
            <sz val="10"/>
            <color rgb="FF000000"/>
            <rFont val="Tahoma"/>
            <family val="2"/>
          </rPr>
          <t xml:space="preserve"> is a large, regulated bank with compliance structure, Fitch Ratings (https://www.emiratesnbd.com/-/media/enbd/files/investor-relations/credit-ratings/full_rating_report_credit.pdf) and Moody's (https://www.emiratesnbd.com/-/media/enbd/files/investor-relations/credit-ratings/affirmation_outlook_en.pdf) notice improvement in governance, but there are still few concerns: 13% of loans are extended to Dubai government-related entities, which is material exposure and presents governance risk; 17% of assets are in Turkey, an economically volatile jurisdiction, and it increases operational complexity and risk; ENBD remains majority government-owned and this can conflict with purely commercial governance ideals; and lastly there is no public evidence that ENBD has cutting-edge ESG governance frameworks. </t>
        </r>
        <r>
          <rPr>
            <b/>
            <sz val="10"/>
            <color rgb="FF000000"/>
            <rFont val="Tahoma"/>
            <family val="2"/>
          </rPr>
          <t xml:space="preserve">(Score: 4)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STC</t>
        </r>
        <r>
          <rPr>
            <sz val="10"/>
            <color rgb="FF000000"/>
            <rFont val="Tahoma"/>
            <family val="2"/>
          </rPr>
          <t xml:space="preserve"> demonstrates strong governance, benefits from strong state support, its governance practices are closely tied to government directive, company's operations are predominantly domestic, which may limit exposure to diverse governance practices.(https://www.arabnews.com/node/2580924/business-economy) </t>
        </r>
        <r>
          <rPr>
            <b/>
            <sz val="10"/>
            <color rgb="FF000000"/>
            <rFont val="Tahoma"/>
            <family val="2"/>
          </rPr>
          <t xml:space="preserve">(Score: 4)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Ooredoo</t>
        </r>
        <r>
          <rPr>
            <sz val="10"/>
            <color rgb="FF000000"/>
            <rFont val="Tahoma"/>
            <family val="2"/>
          </rPr>
          <t xml:space="preserve"> maintains solid governance structures supported by state ownership (69%), the complexities arise from its diverse operational footprint, countries with higher geopolitical and macroeconomic risks, such as Iraq and Myanmar, that introoduce complexities in governance oversight (https://www.ooredoo.com/wp-content/uploads/2024/04/Moodys.pdf) </t>
        </r>
        <r>
          <rPr>
            <b/>
            <sz val="10"/>
            <color rgb="FF000000"/>
            <rFont val="Tahoma"/>
            <family val="2"/>
          </rPr>
          <t>(Score: 4)</t>
        </r>
      </text>
    </comment>
    <comment ref="H10" authorId="0" shapeId="0" xr:uid="{C4480DA1-91F2-6B40-B778-430E667443F7}">
      <text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Emaar Properties: </t>
        </r>
        <r>
          <rPr>
            <sz val="10"/>
            <color rgb="FF000000"/>
            <rFont val="Tahoma"/>
            <family val="2"/>
          </rPr>
          <t xml:space="preserve">S&amp;P Global ESG Score is 24/100, indicating low data availaility and limited disclosure relative to industry peers (https://www.spglobal.com/esg/scores/results?cid=4429429) and Sustainalytics ESG Risk Rating is 21.9 (Medium Risk) (https://www.sustainalytics.com/esg-rating/emaar-development-pjsc/1548930312) </t>
        </r>
        <r>
          <rPr>
            <b/>
            <sz val="10"/>
            <color rgb="FF000000"/>
            <rFont val="Tahoma"/>
            <family val="2"/>
          </rPr>
          <t xml:space="preserve">(Score: 3)
</t>
        </r>
        <r>
          <rPr>
            <b/>
            <sz val="10"/>
            <color rgb="FF000000"/>
            <rFont val="Tahoma"/>
            <family val="2"/>
          </rPr>
          <t xml:space="preserve">- SABIC: </t>
        </r>
        <r>
          <rPr>
            <sz val="10"/>
            <color rgb="FF000000"/>
            <rFont val="Tahoma"/>
            <family val="2"/>
          </rPr>
          <t xml:space="preserve">According to Sustainalytics, company has a medium exposure to ESG risks (24.6) with an average management score, indicating moderate risk levels (https://www.sustainalytics.com/esg-rating/saudi-basic-industries-corp/1009796761) </t>
        </r>
        <r>
          <rPr>
            <b/>
            <sz val="10"/>
            <color rgb="FF000000"/>
            <rFont val="Tahoma"/>
            <family val="2"/>
          </rPr>
          <t xml:space="preserve">(Score: 3)
</t>
        </r>
        <r>
          <rPr>
            <b/>
            <sz val="10"/>
            <color rgb="FF000000"/>
            <rFont val="Tahoma"/>
            <family val="2"/>
          </rPr>
          <t xml:space="preserve">- Emirates NBD: </t>
        </r>
        <r>
          <rPr>
            <sz val="10"/>
            <color rgb="FF000000"/>
            <rFont val="Tahoma"/>
            <family val="2"/>
          </rPr>
          <t xml:space="preserve">Low Risk (11.6) according to Sustainalytics (https://www.sustainalytics.com/esg-rating/emirates-nbd-bank-pjsc/1017164515), governance practices align with international frameworks such as the UN Global Compact and Principles for Responsible Investment (PRI) (https://www.emiratesnbd.com/en/about-emirates-nbd/sustainability/partnerships-and-esg-ratings), however total ESG risk score on Yahoo Finance is 28.4 (medium risk), indicating room for enhanced transparency and disclosure (https://nz.finance.yahoo.com/quote/EMIRATESNBD.AE/sustainability). </t>
        </r>
        <r>
          <rPr>
            <b/>
            <sz val="10"/>
            <color rgb="FF000000"/>
            <rFont val="Tahoma"/>
            <family val="2"/>
          </rPr>
          <t xml:space="preserve">(Score: 4)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STC: </t>
        </r>
        <r>
          <rPr>
            <sz val="10"/>
            <color rgb="FF000000"/>
            <rFont val="Tahoma"/>
            <family val="2"/>
          </rPr>
          <t xml:space="preserve">According to sustainalytics (20.4 Score, medium risk), STC has a medium exposure to ESG risks with strong management practices (https://www.sustainalytics.com/esg-rating/saudi-telecom-co/1014270239). S&amp;P Global ESG Score is 53/100, reflecting high data availability and above-average performance within the telecommunications industry with the room for improvement in ESG relative to industry leaders. (https://www.spglobal.com/esg/scores/results?cid=4346949) </t>
        </r>
        <r>
          <rPr>
            <b/>
            <sz val="10"/>
            <color rgb="FF000000"/>
            <rFont val="Tahoma"/>
            <family val="2"/>
          </rPr>
          <t xml:space="preserve">(Score: 4)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Ooredoo: </t>
        </r>
        <r>
          <rPr>
            <sz val="10"/>
            <color rgb="FF000000"/>
            <rFont val="Tahoma"/>
            <family val="2"/>
          </rPr>
          <t xml:space="preserve">Sustainalytics ESG Risk Rating is 30.9 (High Risk), which indicates that Ooredoo faces significant ESG risks and has average management practices in place to address them (https://www.sustainalytics.com/esg-rating/ooredoo-qpsc/1017940567) </t>
        </r>
        <r>
          <rPr>
            <b/>
            <sz val="10"/>
            <color rgb="FF000000"/>
            <rFont val="Tahoma"/>
            <family val="2"/>
          </rPr>
          <t>(Score: 3)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<sst xmlns="http://schemas.openxmlformats.org/spreadsheetml/2006/main" count="277" uniqueCount="154">
  <si>
    <t>Revenue</t>
  </si>
  <si>
    <t>EBIT</t>
  </si>
  <si>
    <t>Net Profit</t>
  </si>
  <si>
    <t>Interest Expense</t>
  </si>
  <si>
    <t>Tax</t>
  </si>
  <si>
    <t>Total Assets</t>
  </si>
  <si>
    <t>Current Assets</t>
  </si>
  <si>
    <t>Total Liabilities</t>
  </si>
  <si>
    <t>Current Liabilities</t>
  </si>
  <si>
    <t>Shareholders’ Equity</t>
  </si>
  <si>
    <t>Operating Cash Flow</t>
  </si>
  <si>
    <t>2023 Financials</t>
  </si>
  <si>
    <t>2024 Financials</t>
  </si>
  <si>
    <t>Emaar Properties (UAE)</t>
  </si>
  <si>
    <t>SABIC (Saudi Arabia)</t>
  </si>
  <si>
    <t>STC (Saudi Arabia)</t>
  </si>
  <si>
    <t>Ooredoo (Qatar)</t>
  </si>
  <si>
    <t>2022 Financials</t>
  </si>
  <si>
    <t>USD in millions</t>
  </si>
  <si>
    <t>USD 1.00 = 3.673 AED</t>
  </si>
  <si>
    <t>USD 1.00 = 3.759  SAR</t>
  </si>
  <si>
    <t>USD 1.00 = 3.640 QAR</t>
  </si>
  <si>
    <t>Capex (Purchase of PP&amp;E)</t>
  </si>
  <si>
    <t>*Revenue for Emirates NBD is "Total operating income", it's the sum of all actual core banking income streams</t>
  </si>
  <si>
    <t>Emirates NBD (UAE)*</t>
  </si>
  <si>
    <t>EBIT for Emirates NBD is "Operating profit before impairment"</t>
  </si>
  <si>
    <t>Current Assets for Emirates NBD = Cash and deposits with CBs, Due from banks, Investment securities (50%), Loans and receivables (30%), Positive fair value of derivatives, Customer acceptance, Other assets</t>
  </si>
  <si>
    <t>Percentage assumptions of current assets (as in "Investment securities", etc.) and current liabilities (as in "Custome deposits", etc.) were chosen as a way to simplify model</t>
  </si>
  <si>
    <t>Current Liabilities for Emirates NBD = Due to banks, Customer deposits (50%), Debt issued (30%), Sukuks payable (30%), Negative FV of derivatives, Customer acceptance, Other liabilities</t>
  </si>
  <si>
    <t>Capex (Purchase of PP&amp;E + intangible assets)</t>
  </si>
  <si>
    <t>Ratios</t>
  </si>
  <si>
    <t>USD 1.00 = 3.647 QAR</t>
  </si>
  <si>
    <t>USD 1.00 = 3.757  SAR</t>
  </si>
  <si>
    <t>USD 1.00 = 3.646 QAR</t>
  </si>
  <si>
    <t>Liquidity Ratios</t>
  </si>
  <si>
    <t>Company</t>
  </si>
  <si>
    <t>Current Ratio</t>
  </si>
  <si>
    <t>Quick Ratio</t>
  </si>
  <si>
    <t>Leverage (Solvency) Ratios</t>
  </si>
  <si>
    <t>Debt to Equity</t>
  </si>
  <si>
    <t>Interest Coverage Ratio</t>
  </si>
  <si>
    <t>Profitability Ratios</t>
  </si>
  <si>
    <t>Year</t>
  </si>
  <si>
    <t>Emirates NBD (UAE)</t>
  </si>
  <si>
    <t>Net Profit Margin</t>
  </si>
  <si>
    <t>Return on Assets (ROA)</t>
  </si>
  <si>
    <t>Return on Equity (ROE)</t>
  </si>
  <si>
    <t>Efficiency Ratio</t>
  </si>
  <si>
    <t>Asset Turnover</t>
  </si>
  <si>
    <t>Ratio</t>
  </si>
  <si>
    <t>Formula</t>
  </si>
  <si>
    <t>Purpose</t>
  </si>
  <si>
    <t>Current Assets / Current Liabilities</t>
  </si>
  <si>
    <t>(Current Assets - CapEx) / Current Liabilities</t>
  </si>
  <si>
    <t>Total Liabilities / Shareholders' Equity</t>
  </si>
  <si>
    <t>EBIT / Interest Expense</t>
  </si>
  <si>
    <t>Net Profit / Revenue</t>
  </si>
  <si>
    <t>Net Profit / Total Assets</t>
  </si>
  <si>
    <t>Net Profit / Shareholders' Equity</t>
  </si>
  <si>
    <t>Revenue / Total Assets</t>
  </si>
  <si>
    <t>Can the firm pay ist short-term debts? A ratio &gt;1 is usually acceptable</t>
  </si>
  <si>
    <t>A more conservative liquidity test excluding long-term investments</t>
  </si>
  <si>
    <t>Assesses capital structure and financial risk. High values suggests potential overleverage.</t>
  </si>
  <si>
    <t>Shows how easily the firm can cover ist interest payments. A higher ratio = lower credit risk.</t>
  </si>
  <si>
    <t>Indicates profit retained from each dollar of revenue. Higher is better.</t>
  </si>
  <si>
    <t>Efficiency of asset usage in generating net income.</t>
  </si>
  <si>
    <t>Measures return to shareholders. High ROE can indicate good management performance.</t>
  </si>
  <si>
    <t>Reveals how effectively the company is converting assets into revenue.</t>
  </si>
  <si>
    <t>Low Asset Turnover for chosen companies is absolutely fine, since these are large asset-heavy companies in real estate, telecom, and industrials. In this case Value less than 0.1 is worrying. Mostly it's values over 1.0 that show high efficiency.</t>
  </si>
  <si>
    <t>Risk Score</t>
  </si>
  <si>
    <t>Color</t>
  </si>
  <si>
    <t>Meaning</t>
  </si>
  <si>
    <t>4,5 - 5,0</t>
  </si>
  <si>
    <t>3,0 - 4,4</t>
  </si>
  <si>
    <t>&lt; 3,0</t>
  </si>
  <si>
    <t>✅ Green</t>
  </si>
  <si>
    <t>⚠️ Yellow</t>
  </si>
  <si>
    <t>❌ Red</t>
  </si>
  <si>
    <t>Low Risk</t>
  </si>
  <si>
    <t>Medium Risk</t>
  </si>
  <si>
    <t>High Risk</t>
  </si>
  <si>
    <t>Category</t>
  </si>
  <si>
    <t>Weight</t>
  </si>
  <si>
    <t>Liquidity</t>
  </si>
  <si>
    <t>Leverage</t>
  </si>
  <si>
    <t>Profitability</t>
  </si>
  <si>
    <t>Efficiency</t>
  </si>
  <si>
    <t>Rating</t>
  </si>
  <si>
    <t>Score Range</t>
  </si>
  <si>
    <t>A1</t>
  </si>
  <si>
    <t>A2</t>
  </si>
  <si>
    <t>B1</t>
  </si>
  <si>
    <t>B2</t>
  </si>
  <si>
    <t>C1</t>
  </si>
  <si>
    <t>C2</t>
  </si>
  <si>
    <t>&gt;= 4,5</t>
  </si>
  <si>
    <t>4,0-4,49</t>
  </si>
  <si>
    <t>3,5-3,99</t>
  </si>
  <si>
    <t>3,0-3,49</t>
  </si>
  <si>
    <t>2,5-2,99</t>
  </si>
  <si>
    <t>&lt;2,5</t>
  </si>
  <si>
    <t>Country Risk</t>
  </si>
  <si>
    <t>Industry Risk</t>
  </si>
  <si>
    <t>Business Positioning</t>
  </si>
  <si>
    <t>Governance</t>
  </si>
  <si>
    <t>ESG Risk</t>
  </si>
  <si>
    <t>Qualitative Score</t>
  </si>
  <si>
    <t>Qualitative Risk Assessment</t>
  </si>
  <si>
    <t>Factor</t>
  </si>
  <si>
    <t>Description</t>
  </si>
  <si>
    <t>Scoring Example</t>
  </si>
  <si>
    <t>For each ratio a 1-5 score was assigned:                 5 = Excellent, 1 = Weak</t>
  </si>
  <si>
    <t>Each company is rated per year using a score from 1-5 (5 = Excellent, 1 = High Risk) on the following 5 quality dimensions: Country Risk, Industry Risk, Business Positioning, Governance, ESG Risk.</t>
  </si>
  <si>
    <t>Political/economical stability, FX risk, inflation, etc</t>
  </si>
  <si>
    <t>Volatility, competition, cyclicality, regulation, disruption risk</t>
  </si>
  <si>
    <t>Market share, diversification, product strength, pricing power</t>
  </si>
  <si>
    <t>Transparency, board independence, financial controls, related-party issues</t>
  </si>
  <si>
    <t>Environmental/Social/Governance exposure (if available)</t>
  </si>
  <si>
    <t>UAE = 5, Qatar = 4, Saudi Arabia = 4</t>
  </si>
  <si>
    <t>Telecom = 4, Real Estate = 3</t>
  </si>
  <si>
    <t>STC = 5, Emaar = 4, ENBD = 5</t>
  </si>
  <si>
    <t>SABIC = 5, Emaar = 3, Ooredoo = 4</t>
  </si>
  <si>
    <t>Optional but is a bonus metric</t>
  </si>
  <si>
    <t>Emaar Properties (Country: UAE, Industry: Real Estate)</t>
  </si>
  <si>
    <t>SABIC (Country: Saudi Arabia, Industry: Chemicals)</t>
  </si>
  <si>
    <t>Emirates NBD (Country: UAE, Industry: Banking)</t>
  </si>
  <si>
    <t>STC (Country: Saudi Arabia, Industry: Telecom Services)</t>
  </si>
  <si>
    <t>Ooredoo (Country: Qatar, Industry: Telecom Services)</t>
  </si>
  <si>
    <t>Weights</t>
  </si>
  <si>
    <t>Quantitative Risk Assessment</t>
  </si>
  <si>
    <t>Total Risk Score</t>
  </si>
  <si>
    <t>Ooredoo (Country: Qatar,      Industry: Telecom Services)</t>
  </si>
  <si>
    <t>Quantitative Score</t>
  </si>
  <si>
    <t>Final Rating</t>
  </si>
  <si>
    <t>This table of ratios can be enriched later with industry-specific KPIs (like Loan-to-Deposit Ratio for banks or Inventory Turnover for manufacturers)</t>
  </si>
  <si>
    <t>Debt-to-Equity</t>
  </si>
  <si>
    <t>Sector</t>
  </si>
  <si>
    <t>Average Total Score</t>
  </si>
  <si>
    <t>Telecom</t>
  </si>
  <si>
    <t>Real Estate</t>
  </si>
  <si>
    <t>Banking</t>
  </si>
  <si>
    <t>Stable, cash-generating, low-risk sector</t>
  </si>
  <si>
    <t>Profitable but exposed to macro cycles</t>
  </si>
  <si>
    <t>Global demand fluctuations impact stability</t>
  </si>
  <si>
    <t>Regulated, asset-heavy, high leverage</t>
  </si>
  <si>
    <t>Country</t>
  </si>
  <si>
    <t>Saudi Arabia</t>
  </si>
  <si>
    <t>UAE</t>
  </si>
  <si>
    <t>Qatar</t>
  </si>
  <si>
    <t>Comment</t>
  </si>
  <si>
    <t>Strong government support &amp; telecom sector strength</t>
  </si>
  <si>
    <t>Mixed: Emaar strong, ENBD dragged by financial ratios</t>
  </si>
  <si>
    <t>Stable macro, moderate exposure risk via Ooredoo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</si>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</sst>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_);_(* \(#,##0.0\);_(* &quot;-&quot;?_);@_)"/>
    <numFmt numFmtId="165" formatCode="0.000"/>
    <numFmt numFmtId="166" formatCode="[$$-409]#,##0.00"/>
    <numFmt numFmtId="167" formatCode="#\x"/>
    <numFmt numFmtId="168" formatCode="#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i/>
      <sz val="9"/>
      <color theme="1"/>
      <name val="Arial"/>
      <family val="2"/>
    </font>
    <font>
      <sz val="9"/>
      <color rgb="FF00206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5" fontId="1" fillId="2" borderId="0" xfId="0" applyNumberFormat="1" applyFont="1" applyFill="1"/>
    <xf numFmtId="0" fontId="4" fillId="2" borderId="0" xfId="0" applyFont="1" applyFill="1"/>
    <xf numFmtId="166" fontId="1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0" fontId="1" fillId="2" borderId="2" xfId="0" applyNumberFormat="1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8" fontId="1" fillId="2" borderId="2" xfId="0" applyNumberFormat="1" applyFont="1" applyFill="1" applyBorder="1" applyAlignment="1">
      <alignment horizontal="center"/>
    </xf>
    <xf numFmtId="167" fontId="1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E6A3-C8A9-B24D-922A-30B27D856B0D}">
  <dimension ref="B1:O19"/>
  <sheetViews>
    <sheetView zoomScale="111" workbookViewId="0">
      <selection activeCell="C8" sqref="C8"/>
    </sheetView>
  </sheetViews>
  <sheetFormatPr baseColWidth="10" defaultRowHeight="12" x14ac:dyDescent="0.15"/>
  <cols>
    <col min="1" max="1" width="2.1640625" style="1" customWidth="1"/>
    <col min="2" max="2" width="18.5" style="1" bestFit="1" customWidth="1"/>
    <col min="3" max="3" width="8.83203125" style="1" bestFit="1" customWidth="1"/>
    <col min="4" max="5" width="8" style="1" bestFit="1" customWidth="1"/>
    <col min="6" max="6" width="13.1640625" style="1" bestFit="1" customWidth="1"/>
    <col min="7" max="7" width="7.1640625" style="1" bestFit="1" customWidth="1"/>
    <col min="8" max="8" width="10" style="1" bestFit="1" customWidth="1"/>
    <col min="9" max="9" width="11.83203125" style="1" bestFit="1" customWidth="1"/>
    <col min="10" max="10" width="12.33203125" style="1" bestFit="1" customWidth="1"/>
    <col min="11" max="11" width="14.1640625" style="1" bestFit="1" customWidth="1"/>
    <col min="12" max="12" width="16.33203125" style="1" bestFit="1" customWidth="1"/>
    <col min="13" max="13" width="16" style="1" bestFit="1" customWidth="1"/>
    <col min="14" max="14" width="34.6640625" style="1" bestFit="1" customWidth="1"/>
    <col min="15" max="16384" width="10.83203125" style="1"/>
  </cols>
  <sheetData>
    <row r="1" spans="2:15" ht="16" x14ac:dyDescent="0.2">
      <c r="B1" s="2" t="s">
        <v>17</v>
      </c>
    </row>
    <row r="2" spans="2:15" x14ac:dyDescent="0.15">
      <c r="B2" s="1" t="s">
        <v>19</v>
      </c>
    </row>
    <row r="3" spans="2:15" x14ac:dyDescent="0.15">
      <c r="B3" s="1" t="s">
        <v>20</v>
      </c>
    </row>
    <row r="4" spans="2:15" x14ac:dyDescent="0.15">
      <c r="B4" s="1" t="s">
        <v>21</v>
      </c>
    </row>
    <row r="5" spans="2:15" x14ac:dyDescent="0.15">
      <c r="E5" s="3"/>
    </row>
    <row r="7" spans="2:15" ht="13" thickBot="1" x14ac:dyDescent="0.2">
      <c r="B7" s="8" t="s">
        <v>18</v>
      </c>
      <c r="C7" s="8" t="s">
        <v>0</v>
      </c>
      <c r="D7" s="8" t="s">
        <v>1</v>
      </c>
      <c r="E7" s="8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  <c r="K7" s="8" t="s">
        <v>8</v>
      </c>
      <c r="L7" s="8" t="s">
        <v>9</v>
      </c>
      <c r="M7" s="8" t="s">
        <v>10</v>
      </c>
      <c r="N7" s="8" t="s">
        <v>29</v>
      </c>
      <c r="O7" s="6"/>
    </row>
    <row r="8" spans="2:15" x14ac:dyDescent="0.15">
      <c r="B8" s="4" t="s">
        <v>13</v>
      </c>
      <c r="C8" s="5">
        <f>24925.674/3.673</f>
        <v>6786.1894908793902</v>
      </c>
      <c r="D8" s="5">
        <f>9193.797/3.673</f>
        <v>2503.0756874489521</v>
      </c>
      <c r="E8" s="5">
        <f>6832.049/3.673</f>
        <v>1860.0732371358563</v>
      </c>
      <c r="F8" s="5">
        <f>-716.789/3.673</f>
        <v>-195.15083038388238</v>
      </c>
      <c r="G8" s="5">
        <f>-338.161/3.673</f>
        <v>-92.066702967601415</v>
      </c>
      <c r="H8" s="5">
        <f>132364.129/3.673</f>
        <v>36037.06207459842</v>
      </c>
      <c r="I8" s="5">
        <f>35275.944/3.673</f>
        <v>9604.1230601688003</v>
      </c>
      <c r="J8" s="5">
        <f>56938.051/3.673</f>
        <v>15501.783555676559</v>
      </c>
      <c r="K8" s="5">
        <f>41293.748/3.673</f>
        <v>11242.512387693983</v>
      </c>
      <c r="L8" s="5">
        <f>75426.078/3.673</f>
        <v>20535.278518921859</v>
      </c>
      <c r="M8" s="5">
        <f>18941.959/3.673</f>
        <v>5157.0811325891636</v>
      </c>
      <c r="N8" s="5">
        <f>-964.309/3.673</f>
        <v>-262.53988565205555</v>
      </c>
      <c r="O8" s="5"/>
    </row>
    <row r="9" spans="2:15" x14ac:dyDescent="0.15">
      <c r="B9" s="4" t="s">
        <v>14</v>
      </c>
      <c r="C9" s="5">
        <f>183076.594/3.759</f>
        <v>48703.536578877363</v>
      </c>
      <c r="D9" s="5">
        <f>22907.873/3.759</f>
        <v>6094.140196860867</v>
      </c>
      <c r="E9" s="5">
        <f>23492.823/3.759</f>
        <v>6249.7533918595373</v>
      </c>
      <c r="F9" s="5">
        <f>-1887.806/3.759</f>
        <v>-502.20963022080343</v>
      </c>
      <c r="G9" s="5">
        <f>-533.17/3.759</f>
        <v>-141.83825485501461</v>
      </c>
      <c r="H9" s="5">
        <f>313105.817/3.759</f>
        <v>83294.976589518483</v>
      </c>
      <c r="I9" s="5">
        <f>106817.38/3.759</f>
        <v>28416.435222133547</v>
      </c>
      <c r="J9" s="5">
        <f>95488.558/3.759</f>
        <v>25402.649108805534</v>
      </c>
      <c r="K9" s="5">
        <f>48193.677/3.759</f>
        <v>12820.877094972067</v>
      </c>
      <c r="L9" s="5">
        <f>217617.259/3.759</f>
        <v>57892.327480712956</v>
      </c>
      <c r="M9" s="5">
        <f>35810.131/3.759</f>
        <v>9526.5046554934834</v>
      </c>
      <c r="N9" s="5">
        <f>-10111.785/3.759</f>
        <v>-2690.0199521149243</v>
      </c>
      <c r="O9" s="5"/>
    </row>
    <row r="10" spans="2:15" x14ac:dyDescent="0.15">
      <c r="B10" s="4" t="s">
        <v>24</v>
      </c>
      <c r="C10" s="5">
        <f>32507/3.673</f>
        <v>8850.258644160087</v>
      </c>
      <c r="D10" s="5">
        <f>23253/3.673</f>
        <v>6330.792267900898</v>
      </c>
      <c r="E10" s="5">
        <f>13010/3.673</f>
        <v>3542.0637081404848</v>
      </c>
      <c r="F10" s="5">
        <f>-10878/3.673</f>
        <v>-2961.6117615028588</v>
      </c>
      <c r="G10" s="5">
        <f>-1964/3.673</f>
        <v>-534.71276885379802</v>
      </c>
      <c r="H10" s="5">
        <f>741962/3.673</f>
        <v>202004.35611216989</v>
      </c>
      <c r="I10" s="5">
        <f>(74618+73467+(125807*0.5)+(416604*0.3)+17206+9029+15346)/3.673</f>
        <v>102790.82493874217</v>
      </c>
      <c r="J10" s="5">
        <f>648657/3.673</f>
        <v>176601.41573645521</v>
      </c>
      <c r="K10" s="5">
        <f>(37279+(502953*0.5)+(53487*0.3)+(3673*0.3)+20206+9029+22030)/3.673</f>
        <v>97241.628096923494</v>
      </c>
      <c r="L10" s="5">
        <f>93305/3.673</f>
        <v>25402.940375714676</v>
      </c>
      <c r="M10" s="5">
        <f>36531/3.673</f>
        <v>9945.8208548870134</v>
      </c>
      <c r="N10" s="5">
        <f>-656/3.673</f>
        <v>-178.60059896542336</v>
      </c>
    </row>
    <row r="11" spans="2:15" x14ac:dyDescent="0.15">
      <c r="B11" s="4" t="s">
        <v>15</v>
      </c>
      <c r="C11" s="5">
        <f>67431.546/3.759</f>
        <v>17938.69273743017</v>
      </c>
      <c r="D11" s="5">
        <f>14166.699/3.759</f>
        <v>3768.7414205905829</v>
      </c>
      <c r="E11" s="5">
        <f>12386.922/3.759</f>
        <v>3295.2705506783723</v>
      </c>
      <c r="F11" s="5">
        <f>-696.602/3.759</f>
        <v>-185.31577547220004</v>
      </c>
      <c r="G11" s="5">
        <f>-1083.175/3.759</f>
        <v>-288.15509444001066</v>
      </c>
      <c r="H11" s="5">
        <f>137219.986/3.759</f>
        <v>36504.385740888538</v>
      </c>
      <c r="I11" s="5">
        <f>60790.447/3.759</f>
        <v>16171.973131151903</v>
      </c>
      <c r="J11" s="5">
        <f>61194.394/3.759</f>
        <v>16279.43442404895</v>
      </c>
      <c r="K11" s="5">
        <f>36400.164/3.759</f>
        <v>9683.4700718276126</v>
      </c>
      <c r="L11" s="5">
        <f>76025.592/3.759</f>
        <v>20224.951316839586</v>
      </c>
      <c r="M11" s="5">
        <f>26354.39/3.759</f>
        <v>7011.0109071561583</v>
      </c>
      <c r="N11" s="5">
        <f>-7701.814/3.759</f>
        <v>-2048.8997073689811</v>
      </c>
    </row>
    <row r="12" spans="2:15" x14ac:dyDescent="0.15">
      <c r="B12" s="4" t="s">
        <v>16</v>
      </c>
      <c r="C12" s="5">
        <f>22698.184/3.64</f>
        <v>6235.7648351648349</v>
      </c>
      <c r="D12" s="5">
        <f>4298.374/3.64</f>
        <v>1180.8719780219778</v>
      </c>
      <c r="E12" s="5">
        <f>2760.908/3.64</f>
        <v>758.49120879120869</v>
      </c>
      <c r="F12" s="5">
        <f>-971.626/3.64</f>
        <v>-266.93021978021977</v>
      </c>
      <c r="G12" s="5">
        <f>-565.84/3.64</f>
        <v>-155.45054945054946</v>
      </c>
      <c r="H12" s="5">
        <f>61839.52/3.64</f>
        <v>16988.879120879119</v>
      </c>
      <c r="I12" s="5">
        <f>19622.84/3.64</f>
        <v>5390.8901098901097</v>
      </c>
      <c r="J12" s="5">
        <f>33683.076/3.64</f>
        <v>9253.5923076923082</v>
      </c>
      <c r="K12" s="5">
        <f>15291.265/3.64</f>
        <v>4200.8969780219777</v>
      </c>
      <c r="L12" s="5">
        <f>28156.444/3.64</f>
        <v>7735.2868131868127</v>
      </c>
      <c r="M12" s="5">
        <f>6675.211/3.64</f>
        <v>1833.8491758241757</v>
      </c>
      <c r="N12" s="5">
        <f>-3162.349/3.64</f>
        <v>-868.77719780219786</v>
      </c>
    </row>
    <row r="13" spans="2:15" x14ac:dyDescent="0.15">
      <c r="K13" s="5"/>
    </row>
    <row r="14" spans="2:15" x14ac:dyDescent="0.15">
      <c r="F14" s="5"/>
    </row>
    <row r="15" spans="2:15" x14ac:dyDescent="0.15">
      <c r="B15" s="1" t="s">
        <v>23</v>
      </c>
      <c r="L15" s="5"/>
    </row>
    <row r="16" spans="2:15" x14ac:dyDescent="0.15">
      <c r="B16" s="1" t="s">
        <v>25</v>
      </c>
      <c r="K16" s="5"/>
    </row>
    <row r="17" spans="2:2" x14ac:dyDescent="0.15">
      <c r="B17" s="1" t="s">
        <v>26</v>
      </c>
    </row>
    <row r="18" spans="2:2" x14ac:dyDescent="0.15">
      <c r="B18" s="1" t="s">
        <v>28</v>
      </c>
    </row>
    <row r="19" spans="2:2" x14ac:dyDescent="0.15">
      <c r="B19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A3E1-21B7-0F42-BBD0-E9BC0ADC69E9}">
  <dimension ref="B1:N19"/>
  <sheetViews>
    <sheetView topLeftCell="B1" zoomScale="109" workbookViewId="0">
      <selection activeCell="G19" sqref="G19"/>
    </sheetView>
  </sheetViews>
  <sheetFormatPr baseColWidth="10" defaultRowHeight="12" x14ac:dyDescent="0.15"/>
  <cols>
    <col min="1" max="1" width="2.1640625" style="1" customWidth="1"/>
    <col min="2" max="2" width="18.5" style="1" bestFit="1" customWidth="1"/>
    <col min="3" max="3" width="9.33203125" style="1" bestFit="1" customWidth="1"/>
    <col min="4" max="5" width="8.5" style="1" bestFit="1" customWidth="1"/>
    <col min="6" max="6" width="13.83203125" style="1" bestFit="1" customWidth="1"/>
    <col min="7" max="7" width="7.5" style="1" bestFit="1" customWidth="1"/>
    <col min="8" max="8" width="10.33203125" style="1" bestFit="1" customWidth="1"/>
    <col min="9" max="9" width="12.1640625" style="1" bestFit="1" customWidth="1"/>
    <col min="10" max="10" width="12.5" style="1" bestFit="1" customWidth="1"/>
    <col min="11" max="11" width="14.33203125" style="1" bestFit="1" customWidth="1"/>
    <col min="12" max="12" width="16.5" style="1" bestFit="1" customWidth="1"/>
    <col min="13" max="13" width="16.83203125" style="1" bestFit="1" customWidth="1"/>
    <col min="14" max="14" width="20.1640625" style="1" bestFit="1" customWidth="1"/>
    <col min="15" max="16384" width="10.83203125" style="1"/>
  </cols>
  <sheetData>
    <row r="1" spans="2:14" ht="16" x14ac:dyDescent="0.2">
      <c r="B1" s="2" t="s">
        <v>11</v>
      </c>
    </row>
    <row r="2" spans="2:14" x14ac:dyDescent="0.15">
      <c r="B2" s="1" t="s">
        <v>19</v>
      </c>
    </row>
    <row r="3" spans="2:14" x14ac:dyDescent="0.15">
      <c r="B3" s="1" t="s">
        <v>20</v>
      </c>
    </row>
    <row r="4" spans="2:14" x14ac:dyDescent="0.15">
      <c r="B4" s="1" t="s">
        <v>31</v>
      </c>
    </row>
    <row r="5" spans="2:14" x14ac:dyDescent="0.15">
      <c r="E5" s="3"/>
    </row>
    <row r="7" spans="2:14" ht="13" thickBot="1" x14ac:dyDescent="0.2">
      <c r="B7" s="8" t="s">
        <v>18</v>
      </c>
      <c r="C7" s="8" t="s">
        <v>0</v>
      </c>
      <c r="D7" s="8" t="s">
        <v>1</v>
      </c>
      <c r="E7" s="8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  <c r="K7" s="8" t="s">
        <v>8</v>
      </c>
      <c r="L7" s="8" t="s">
        <v>9</v>
      </c>
      <c r="M7" s="8" t="s">
        <v>10</v>
      </c>
      <c r="N7" s="8" t="s">
        <v>22</v>
      </c>
    </row>
    <row r="8" spans="2:14" x14ac:dyDescent="0.15">
      <c r="B8" s="4" t="s">
        <v>13</v>
      </c>
      <c r="C8" s="5">
        <f>26749.821/3.673</f>
        <v>7282.8263000272254</v>
      </c>
      <c r="D8" s="5">
        <f>15729.693/3.673</f>
        <v>4282.5191941192479</v>
      </c>
      <c r="E8" s="5">
        <f>11629.238/3.673</f>
        <v>3166.141573645521</v>
      </c>
      <c r="F8" s="5">
        <f>-668.129/3.673</f>
        <v>-181.90280424720936</v>
      </c>
      <c r="G8" s="5">
        <f>-232.414/3.673</f>
        <v>-63.276340865777293</v>
      </c>
      <c r="H8" s="5">
        <f>139397.232/3.673</f>
        <v>37951.873672747068</v>
      </c>
      <c r="I8" s="5">
        <f>49255.879/3.673</f>
        <v>13410.258371903077</v>
      </c>
      <c r="J8" s="5">
        <f>52566.214/3.673</f>
        <v>14311.520283147291</v>
      </c>
      <c r="K8" s="5">
        <f>39209.464/3.673</f>
        <v>10675.051456575007</v>
      </c>
      <c r="L8" s="5">
        <f>86831.018/3.673</f>
        <v>23640.353389599783</v>
      </c>
      <c r="M8" s="5">
        <f>19831.247/3.673</f>
        <v>5399.196025047645</v>
      </c>
      <c r="N8" s="5">
        <f>-589.979/3.673</f>
        <v>-160.62591886741083</v>
      </c>
    </row>
    <row r="9" spans="2:14" x14ac:dyDescent="0.15">
      <c r="B9" s="4" t="s">
        <v>14</v>
      </c>
      <c r="C9" s="5">
        <f>141537.187/3.759</f>
        <v>37652.88294759245</v>
      </c>
      <c r="D9" s="5">
        <f>3720.393/3.759</f>
        <v>989.72944932162818</v>
      </c>
      <c r="E9" s="5">
        <f>-384.277/3.759</f>
        <v>-102.22851822293163</v>
      </c>
      <c r="F9" s="5">
        <f>-2614.65/3.759</f>
        <v>-695.57063048683165</v>
      </c>
      <c r="G9" s="5">
        <f>438.208/3.759</f>
        <v>116.5756850226124</v>
      </c>
      <c r="H9" s="5">
        <f>294380.451/3.759</f>
        <v>78313.501197126898</v>
      </c>
      <c r="I9" s="5">
        <f>100604.319/3.759</f>
        <v>26763.585794094175</v>
      </c>
      <c r="J9" s="5">
        <f>99097.911/3.759</f>
        <v>26362.838786911412</v>
      </c>
      <c r="K9" s="5">
        <f>52800.366/3.759</f>
        <v>14046.386272944934</v>
      </c>
      <c r="L9" s="5">
        <f>195282.54/3.759</f>
        <v>51950.662410215489</v>
      </c>
      <c r="M9" s="5">
        <f>24452.92/3.759</f>
        <v>6505.1662676243677</v>
      </c>
      <c r="N9" s="5">
        <f>-10456.518/3.759</f>
        <v>-2781.728651237031</v>
      </c>
    </row>
    <row r="10" spans="2:14" x14ac:dyDescent="0.15">
      <c r="B10" s="4" t="s">
        <v>24</v>
      </c>
      <c r="C10" s="5">
        <f>43028/3.673</f>
        <v>11714.674652872311</v>
      </c>
      <c r="D10" s="5">
        <f>31332/3.673</f>
        <v>8530.356656683909</v>
      </c>
      <c r="E10" s="5">
        <f>21521/3.673</f>
        <v>5859.2431255104821</v>
      </c>
      <c r="F10" s="5">
        <f>-25239/3.673</f>
        <v>-6871.4946909882929</v>
      </c>
      <c r="G10" s="5">
        <f>-2134/3.673</f>
        <v>-580.99646065886191</v>
      </c>
      <c r="H10" s="5">
        <f>862773/3.673</f>
        <v>234895.99782194392</v>
      </c>
      <c r="I10" s="5">
        <f>(96031+92302+(173246*0.5)+(445105*0.3)+15284+8468+21390)/3.673</f>
        <v>123503.81159814865</v>
      </c>
      <c r="J10" s="5">
        <f>752801/3.673</f>
        <v>204955.34985025864</v>
      </c>
      <c r="K10" s="5">
        <f>(40321+(584561*0.5)+(66116*0.3)+(4673*0.3)+17389+8468+31273)/3.673</f>
        <v>111888.97359106997</v>
      </c>
      <c r="L10" s="5">
        <f>109972/3.673</f>
        <v>29940.64797168527</v>
      </c>
      <c r="M10" s="5">
        <f>19327/3.673</f>
        <v>5261.9112442145388</v>
      </c>
      <c r="N10" s="5">
        <f>-1447/3.673</f>
        <v>-393.95589436427986</v>
      </c>
    </row>
    <row r="11" spans="2:14" x14ac:dyDescent="0.15">
      <c r="B11" s="4" t="s">
        <v>15</v>
      </c>
      <c r="C11" s="5">
        <f>71777.161/3.759</f>
        <v>19094.748869380153</v>
      </c>
      <c r="D11" s="5">
        <f>15055.145/3.759</f>
        <v>4005.0931098696465</v>
      </c>
      <c r="E11" s="5">
        <f>13419.479/3.759</f>
        <v>3569.9598297419525</v>
      </c>
      <c r="F11" s="5">
        <f>-1068.102/3.759</f>
        <v>-284.14525139664806</v>
      </c>
      <c r="G11" s="5">
        <f>-1326.61/3.759</f>
        <v>-352.91566906092044</v>
      </c>
      <c r="H11" s="5">
        <f>159645.869/3.759</f>
        <v>42470.303006118651</v>
      </c>
      <c r="I11" s="5">
        <f>70776.373/3.759</f>
        <v>18828.511040170259</v>
      </c>
      <c r="J11" s="5">
        <f>78130.703/3.759</f>
        <v>20784.970204841713</v>
      </c>
      <c r="K11" s="5">
        <f>47623.038/3.759</f>
        <v>12669.07102952913</v>
      </c>
      <c r="L11" s="5">
        <f>81515.166/3.759</f>
        <v>21685.332801276934</v>
      </c>
      <c r="M11" s="5">
        <f>22417.558/3.759</f>
        <v>5963.7025804735304</v>
      </c>
      <c r="N11" s="5">
        <f>-9569.269/3.759</f>
        <v>-2545.6953977121575</v>
      </c>
    </row>
    <row r="12" spans="2:14" x14ac:dyDescent="0.15">
      <c r="B12" s="4" t="s">
        <v>16</v>
      </c>
      <c r="C12" s="5">
        <f>23163.709/3.647</f>
        <v>6351.442007129147</v>
      </c>
      <c r="D12" s="5">
        <f>5106.911/3.647</f>
        <v>1400.3046339457089</v>
      </c>
      <c r="E12" s="5">
        <f>3511.536/3.647</f>
        <v>962.85604606525919</v>
      </c>
      <c r="F12" s="5">
        <f>-820.07/3.647</f>
        <v>-224.86153002467785</v>
      </c>
      <c r="G12" s="5">
        <f>-775.305/3.647</f>
        <v>-212.58705785577186</v>
      </c>
      <c r="H12" s="5">
        <f>58208.452/3.647</f>
        <v>15960.639429668221</v>
      </c>
      <c r="I12" s="5">
        <f>17080.33/3.647</f>
        <v>4683.3918289004669</v>
      </c>
      <c r="J12" s="5">
        <f>27634.1/3.647</f>
        <v>7577.2141486153005</v>
      </c>
      <c r="K12" s="5">
        <f>11340.868/3.647</f>
        <v>3109.6429942418431</v>
      </c>
      <c r="L12" s="5">
        <f>30574.352/3.647</f>
        <v>8383.4252810529197</v>
      </c>
      <c r="M12" s="5">
        <f>8361.21/3.647</f>
        <v>2292.6268165615575</v>
      </c>
      <c r="N12" s="5">
        <f>-3110.368/3.647</f>
        <v>-852.85659446120098</v>
      </c>
    </row>
    <row r="13" spans="2:14" x14ac:dyDescent="0.15">
      <c r="L13" s="5"/>
    </row>
    <row r="15" spans="2:14" x14ac:dyDescent="0.15">
      <c r="B15" s="1" t="s">
        <v>23</v>
      </c>
    </row>
    <row r="16" spans="2:14" x14ac:dyDescent="0.15">
      <c r="B16" s="1" t="s">
        <v>25</v>
      </c>
    </row>
    <row r="17" spans="2:9" x14ac:dyDescent="0.15">
      <c r="B17" s="1" t="s">
        <v>26</v>
      </c>
    </row>
    <row r="18" spans="2:9" x14ac:dyDescent="0.15">
      <c r="B18" s="1" t="s">
        <v>28</v>
      </c>
    </row>
    <row r="19" spans="2:9" x14ac:dyDescent="0.15">
      <c r="B19" s="7" t="s">
        <v>27</v>
      </c>
      <c r="I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1EB2-95EA-DB44-BF6A-C1C139D6ACA4}">
  <dimension ref="B1:N19"/>
  <sheetViews>
    <sheetView zoomScale="88" workbookViewId="0">
      <selection activeCell="J11" sqref="J11"/>
    </sheetView>
  </sheetViews>
  <sheetFormatPr baseColWidth="10" defaultRowHeight="12" x14ac:dyDescent="0.15"/>
  <cols>
    <col min="1" max="1" width="2.1640625" style="1" customWidth="1"/>
    <col min="2" max="2" width="18.5" style="1" bestFit="1" customWidth="1"/>
    <col min="3" max="3" width="9.6640625" style="1" bestFit="1" customWidth="1"/>
    <col min="4" max="4" width="8.6640625" style="1" bestFit="1" customWidth="1"/>
    <col min="5" max="5" width="9.6640625" style="1" bestFit="1" customWidth="1"/>
    <col min="6" max="6" width="13" style="1" bestFit="1" customWidth="1"/>
    <col min="7" max="7" width="9.1640625" style="1" bestFit="1" customWidth="1"/>
    <col min="8" max="8" width="10.6640625" style="1" bestFit="1" customWidth="1"/>
    <col min="9" max="9" width="12.1640625" style="1" bestFit="1" customWidth="1"/>
    <col min="10" max="10" width="12.5" style="1" bestFit="1" customWidth="1"/>
    <col min="11" max="11" width="14.33203125" style="1" bestFit="1" customWidth="1"/>
    <col min="12" max="12" width="16.33203125" style="1" bestFit="1" customWidth="1"/>
    <col min="13" max="13" width="17" style="1" bestFit="1" customWidth="1"/>
    <col min="14" max="14" width="20.83203125" style="1" bestFit="1" customWidth="1"/>
    <col min="15" max="16384" width="10.83203125" style="1"/>
  </cols>
  <sheetData>
    <row r="1" spans="2:14" ht="16" x14ac:dyDescent="0.2">
      <c r="B1" s="2" t="s">
        <v>12</v>
      </c>
    </row>
    <row r="2" spans="2:14" x14ac:dyDescent="0.15">
      <c r="B2" s="1" t="s">
        <v>19</v>
      </c>
    </row>
    <row r="3" spans="2:14" x14ac:dyDescent="0.15">
      <c r="B3" s="1" t="s">
        <v>32</v>
      </c>
    </row>
    <row r="4" spans="2:14" x14ac:dyDescent="0.15">
      <c r="B4" s="1" t="s">
        <v>33</v>
      </c>
    </row>
    <row r="7" spans="2:14" ht="13" thickBot="1" x14ac:dyDescent="0.2">
      <c r="B7" s="8" t="s">
        <v>18</v>
      </c>
      <c r="C7" s="8" t="s">
        <v>0</v>
      </c>
      <c r="D7" s="8" t="s">
        <v>1</v>
      </c>
      <c r="E7" s="8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  <c r="K7" s="8" t="s">
        <v>8</v>
      </c>
      <c r="L7" s="8" t="s">
        <v>9</v>
      </c>
      <c r="M7" s="8" t="s">
        <v>10</v>
      </c>
      <c r="N7" s="8" t="s">
        <v>22</v>
      </c>
    </row>
    <row r="8" spans="2:14" x14ac:dyDescent="0.15">
      <c r="B8" s="4" t="s">
        <v>13</v>
      </c>
      <c r="C8" s="5">
        <f>35504.92/3.673</f>
        <v>9666.4633814320714</v>
      </c>
      <c r="D8" s="5">
        <f>19485.632/3.673</f>
        <v>5305.0999183228969</v>
      </c>
      <c r="E8" s="5">
        <f>13513.938/3.673</f>
        <v>3679.2643615573102</v>
      </c>
      <c r="F8" s="5">
        <f>-585.852/3.673</f>
        <v>-159.50231418459023</v>
      </c>
      <c r="G8" s="5">
        <f>-1450.707/3.673</f>
        <v>-394.9651511026409</v>
      </c>
      <c r="H8" s="5">
        <f>160222.368/3.673</f>
        <v>43621.662945820848</v>
      </c>
      <c r="I8" s="5">
        <f>69968.348/3.673</f>
        <v>19049.373264361555</v>
      </c>
      <c r="J8" s="5">
        <f>64152.334/3.673</f>
        <v>17465.922679008985</v>
      </c>
      <c r="K8" s="5">
        <f>53560.978/3.673</f>
        <v>14582.351756057718</v>
      </c>
      <c r="L8" s="5">
        <f>96070.034/3.673</f>
        <v>26155.74026681187</v>
      </c>
      <c r="M8" s="5">
        <f>24481.462/3.673</f>
        <v>6665.2496596787369</v>
      </c>
      <c r="N8" s="5">
        <f>-535.666/3.673</f>
        <v>-145.83882384971415</v>
      </c>
    </row>
    <row r="9" spans="2:14" x14ac:dyDescent="0.15">
      <c r="B9" s="4" t="s">
        <v>14</v>
      </c>
      <c r="C9" s="5">
        <f>139980.5/3.757</f>
        <v>37258.583976577058</v>
      </c>
      <c r="D9" s="5">
        <f>5737.379/3.757</f>
        <v>1527.1171147191908</v>
      </c>
      <c r="E9" s="5">
        <f>3723.135/3.757</f>
        <v>990.98615916955021</v>
      </c>
      <c r="F9" s="5">
        <f>-2820.297/3.757</f>
        <v>-750.6779345222252</v>
      </c>
      <c r="G9" s="5">
        <f>77.929/3.757</f>
        <v>20.742347617780144</v>
      </c>
      <c r="H9" s="5">
        <f>278018.793/3.757</f>
        <v>74000.211072664359</v>
      </c>
      <c r="I9" s="5">
        <f>91383.866/3.757</f>
        <v>24323.626829917484</v>
      </c>
      <c r="J9" s="5">
        <f>94100.634/3.757</f>
        <v>25046.748469523558</v>
      </c>
      <c r="K9" s="5">
        <f>45381.288/3.757</f>
        <v>12079.129092360927</v>
      </c>
      <c r="L9" s="5">
        <f>183918.159/3.757</f>
        <v>48953.462603140804</v>
      </c>
      <c r="M9" s="5">
        <f>16358.596/3.757</f>
        <v>4354.1644929464992</v>
      </c>
      <c r="N9" s="5">
        <f>-10114.32/3.759</f>
        <v>-2690.6943335993615</v>
      </c>
    </row>
    <row r="10" spans="2:14" x14ac:dyDescent="0.15">
      <c r="B10" s="4" t="s">
        <v>24</v>
      </c>
      <c r="C10" s="5">
        <f>44134/3.673</f>
        <v>12015.790906615845</v>
      </c>
      <c r="D10" s="5">
        <f>30383/3.673</f>
        <v>8271.9847536074049</v>
      </c>
      <c r="E10" s="5">
        <f>23008/3.673</f>
        <v>6264.0893002994826</v>
      </c>
      <c r="F10" s="5">
        <f>-42760/3.673</f>
        <v>-11641.709774026682</v>
      </c>
      <c r="G10" s="5">
        <f>-4133/3.673</f>
        <v>-1125.2382248842907</v>
      </c>
      <c r="H10" s="5">
        <f>996582/3.673</f>
        <v>271326.43615573103</v>
      </c>
      <c r="I10" s="5">
        <f>(104665+132766+(199223*0.5)+(501627*0.3)+12468+9478+22788)/3.673</f>
        <v>144912.76885379798</v>
      </c>
      <c r="J10" s="5">
        <f>870368/3.673</f>
        <v>236963.78981758779</v>
      </c>
      <c r="K10" s="5">
        <f>(55487+(666777*0.5)+(72476*0.3)+(7427*0.3)+15897+9478+42826)/3.673</f>
        <v>130968.52708957254</v>
      </c>
      <c r="L10" s="5">
        <f>126214/3.673</f>
        <v>34362.646338143204</v>
      </c>
      <c r="M10" s="5">
        <f>57442/3.673</f>
        <v>15638.9872039205</v>
      </c>
      <c r="N10" s="5">
        <f>-2903/3.673</f>
        <v>-790.36210182412196</v>
      </c>
    </row>
    <row r="11" spans="2:14" x14ac:dyDescent="0.15">
      <c r="B11" s="4" t="s">
        <v>15</v>
      </c>
      <c r="C11" s="5">
        <f>75893.413/3.757</f>
        <v>20200.535799840298</v>
      </c>
      <c r="D11" s="5">
        <f>13368.126/3.757</f>
        <v>3558.1916422677668</v>
      </c>
      <c r="E11" s="5">
        <f>24916.243/3.757</f>
        <v>6631.9518232632417</v>
      </c>
      <c r="F11" s="5">
        <f>-1233.679/3.757</f>
        <v>-328.36811285600214</v>
      </c>
      <c r="G11" s="5">
        <f>-1191.564/3.757</f>
        <v>-317.15837104072398</v>
      </c>
      <c r="H11" s="5">
        <f>160638.143/3.757</f>
        <v>42757.025019962741</v>
      </c>
      <c r="I11" s="5">
        <f>72767.13/3.757</f>
        <v>19368.413627894599</v>
      </c>
      <c r="J11" s="5">
        <f>68153.096/3.757</f>
        <v>18140.297045515039</v>
      </c>
      <c r="K11" s="5">
        <f>38956.261/3.757</f>
        <v>10368.980835773222</v>
      </c>
      <c r="L11" s="5">
        <f>92485.047/3.757</f>
        <v>24616.727974447698</v>
      </c>
      <c r="M11" s="5">
        <f>19885.337/3.757</f>
        <v>5292.8764972052168</v>
      </c>
      <c r="N11" s="5">
        <f>-11762.918/3.757</f>
        <v>-3130.9337237157306</v>
      </c>
    </row>
    <row r="12" spans="2:14" x14ac:dyDescent="0.15">
      <c r="B12" s="4" t="s">
        <v>16</v>
      </c>
      <c r="C12" s="5">
        <f>23594.817/3.646</f>
        <v>6471.4253976961054</v>
      </c>
      <c r="D12" s="5">
        <f>5600.86/3.646</f>
        <v>1536.1656609983543</v>
      </c>
      <c r="E12" s="5">
        <f>4027.102/3.646</f>
        <v>1104.5260559517278</v>
      </c>
      <c r="F12" s="5">
        <f>-725.271/3.646</f>
        <v>-198.9223806911684</v>
      </c>
      <c r="G12" s="5">
        <f>-848.487/3.646</f>
        <v>-232.71722435545803</v>
      </c>
      <c r="H12" s="5">
        <f>61943.516/3.646</f>
        <v>16989.444871091608</v>
      </c>
      <c r="I12" s="5">
        <f>22317.086/3.646</f>
        <v>6120.9780581459136</v>
      </c>
      <c r="J12" s="5">
        <f>29494.45/3.646</f>
        <v>8089.5364783324194</v>
      </c>
      <c r="K12" s="5">
        <f>14052.41/3.646</f>
        <v>3854.1991223258365</v>
      </c>
      <c r="L12" s="5">
        <f>32449.066/3.646</f>
        <v>8899.9083927591873</v>
      </c>
      <c r="M12" s="5">
        <f>8032.326/3.646</f>
        <v>2203.0515633571035</v>
      </c>
      <c r="N12" s="5">
        <f>-3273.737/3.646</f>
        <v>-897.89824465167317</v>
      </c>
    </row>
    <row r="14" spans="2:14" x14ac:dyDescent="0.15">
      <c r="J14" s="5"/>
    </row>
    <row r="15" spans="2:14" x14ac:dyDescent="0.15">
      <c r="B15" s="1" t="s">
        <v>23</v>
      </c>
    </row>
    <row r="16" spans="2:14" x14ac:dyDescent="0.15">
      <c r="B16" s="1" t="s">
        <v>25</v>
      </c>
      <c r="F16" s="5"/>
    </row>
    <row r="17" spans="2:2" x14ac:dyDescent="0.15">
      <c r="B17" s="1" t="s">
        <v>26</v>
      </c>
    </row>
    <row r="18" spans="2:2" x14ac:dyDescent="0.15">
      <c r="B18" s="1" t="s">
        <v>28</v>
      </c>
    </row>
    <row r="19" spans="2:2" x14ac:dyDescent="0.15">
      <c r="B19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4792-C4C0-3646-8805-C16FA0D2EC94}">
  <dimension ref="B1:L42"/>
  <sheetViews>
    <sheetView topLeftCell="A4" zoomScale="110" workbookViewId="0">
      <selection activeCell="A31" sqref="A31:XFD31"/>
    </sheetView>
  </sheetViews>
  <sheetFormatPr baseColWidth="10" defaultRowHeight="12" x14ac:dyDescent="0.15"/>
  <cols>
    <col min="1" max="1" width="2.1640625" style="1" customWidth="1"/>
    <col min="2" max="2" width="24.5" style="1" bestFit="1" customWidth="1"/>
    <col min="3" max="3" width="14.1640625" style="1" customWidth="1"/>
    <col min="4" max="4" width="10.6640625" style="1" bestFit="1" customWidth="1"/>
    <col min="5" max="5" width="9.5" style="1" bestFit="1" customWidth="1"/>
    <col min="6" max="6" width="12" style="1" bestFit="1" customWidth="1"/>
    <col min="7" max="7" width="18.1640625" style="1" bestFit="1" customWidth="1"/>
    <col min="8" max="8" width="14.5" style="1" customWidth="1"/>
    <col min="9" max="9" width="20.33203125" style="1" customWidth="1"/>
    <col min="10" max="11" width="17.83203125" style="1" bestFit="1" customWidth="1"/>
    <col min="12" max="16384" width="10.83203125" style="1"/>
  </cols>
  <sheetData>
    <row r="1" spans="2:12" ht="16" x14ac:dyDescent="0.2">
      <c r="B1" s="20" t="s">
        <v>30</v>
      </c>
    </row>
    <row r="2" spans="2:12" ht="12" customHeight="1" x14ac:dyDescent="0.15"/>
    <row r="3" spans="2:12" ht="15" customHeight="1" x14ac:dyDescent="0.15">
      <c r="B3" s="26" t="s">
        <v>134</v>
      </c>
      <c r="C3" s="27" t="s">
        <v>49</v>
      </c>
      <c r="D3" s="27"/>
      <c r="E3" s="36" t="s">
        <v>50</v>
      </c>
      <c r="F3" s="37"/>
      <c r="G3" s="38"/>
      <c r="H3" s="27" t="s">
        <v>51</v>
      </c>
      <c r="I3" s="27"/>
      <c r="J3" s="27"/>
      <c r="K3" s="27"/>
    </row>
    <row r="4" spans="2:12" ht="15" customHeight="1" x14ac:dyDescent="0.15">
      <c r="B4" s="26"/>
      <c r="C4" s="27" t="s">
        <v>36</v>
      </c>
      <c r="D4" s="27"/>
      <c r="E4" s="33" t="s">
        <v>52</v>
      </c>
      <c r="F4" s="34"/>
      <c r="G4" s="35"/>
      <c r="H4" s="30" t="s">
        <v>60</v>
      </c>
      <c r="I4" s="30"/>
      <c r="J4" s="30"/>
      <c r="K4" s="30"/>
    </row>
    <row r="5" spans="2:12" ht="15" customHeight="1" x14ac:dyDescent="0.15">
      <c r="B5" s="26"/>
      <c r="C5" s="27" t="s">
        <v>37</v>
      </c>
      <c r="D5" s="27"/>
      <c r="E5" s="33" t="s">
        <v>53</v>
      </c>
      <c r="F5" s="34"/>
      <c r="G5" s="35"/>
      <c r="H5" s="30" t="s">
        <v>61</v>
      </c>
      <c r="I5" s="30"/>
      <c r="J5" s="30"/>
      <c r="K5" s="30"/>
      <c r="L5" s="4"/>
    </row>
    <row r="6" spans="2:12" ht="15" customHeight="1" x14ac:dyDescent="0.15">
      <c r="B6" s="26"/>
      <c r="C6" s="27" t="s">
        <v>39</v>
      </c>
      <c r="D6" s="27"/>
      <c r="E6" s="33" t="s">
        <v>54</v>
      </c>
      <c r="F6" s="34"/>
      <c r="G6" s="35"/>
      <c r="H6" s="30" t="s">
        <v>62</v>
      </c>
      <c r="I6" s="30"/>
      <c r="J6" s="30"/>
      <c r="K6" s="30"/>
    </row>
    <row r="7" spans="2:12" ht="15" customHeight="1" x14ac:dyDescent="0.15">
      <c r="B7" s="26"/>
      <c r="C7" s="27" t="s">
        <v>40</v>
      </c>
      <c r="D7" s="27"/>
      <c r="E7" s="33" t="s">
        <v>55</v>
      </c>
      <c r="F7" s="34"/>
      <c r="G7" s="35"/>
      <c r="H7" s="30" t="s">
        <v>63</v>
      </c>
      <c r="I7" s="30"/>
      <c r="J7" s="30"/>
      <c r="K7" s="30"/>
    </row>
    <row r="8" spans="2:12" ht="15" customHeight="1" x14ac:dyDescent="0.15">
      <c r="B8" s="26"/>
      <c r="C8" s="27" t="s">
        <v>44</v>
      </c>
      <c r="D8" s="27"/>
      <c r="E8" s="33" t="s">
        <v>56</v>
      </c>
      <c r="F8" s="34"/>
      <c r="G8" s="35"/>
      <c r="H8" s="30" t="s">
        <v>64</v>
      </c>
      <c r="I8" s="30"/>
      <c r="J8" s="30"/>
      <c r="K8" s="30"/>
    </row>
    <row r="9" spans="2:12" ht="15" customHeight="1" x14ac:dyDescent="0.15">
      <c r="B9" s="26"/>
      <c r="C9" s="27" t="s">
        <v>45</v>
      </c>
      <c r="D9" s="27"/>
      <c r="E9" s="33" t="s">
        <v>57</v>
      </c>
      <c r="F9" s="34"/>
      <c r="G9" s="35"/>
      <c r="H9" s="30" t="s">
        <v>65</v>
      </c>
      <c r="I9" s="30"/>
      <c r="J9" s="30"/>
      <c r="K9" s="30"/>
    </row>
    <row r="10" spans="2:12" ht="15" customHeight="1" x14ac:dyDescent="0.15">
      <c r="B10" s="26"/>
      <c r="C10" s="27" t="s">
        <v>46</v>
      </c>
      <c r="D10" s="27"/>
      <c r="E10" s="33" t="s">
        <v>58</v>
      </c>
      <c r="F10" s="34"/>
      <c r="G10" s="35"/>
      <c r="H10" s="30" t="s">
        <v>66</v>
      </c>
      <c r="I10" s="30"/>
      <c r="J10" s="30"/>
      <c r="K10" s="30"/>
    </row>
    <row r="11" spans="2:12" ht="15" customHeight="1" x14ac:dyDescent="0.15">
      <c r="B11" s="26"/>
      <c r="C11" s="27" t="s">
        <v>48</v>
      </c>
      <c r="D11" s="27"/>
      <c r="E11" s="33" t="s">
        <v>59</v>
      </c>
      <c r="F11" s="34"/>
      <c r="G11" s="35"/>
      <c r="H11" s="30" t="s">
        <v>67</v>
      </c>
      <c r="I11" s="30"/>
      <c r="J11" s="30"/>
      <c r="K11" s="30"/>
    </row>
    <row r="14" spans="2:12" x14ac:dyDescent="0.15">
      <c r="B14" s="27" t="s">
        <v>35</v>
      </c>
      <c r="C14" s="27" t="s">
        <v>42</v>
      </c>
      <c r="D14" s="27" t="s">
        <v>34</v>
      </c>
      <c r="E14" s="27"/>
      <c r="F14" s="27" t="s">
        <v>38</v>
      </c>
      <c r="G14" s="27"/>
      <c r="H14" s="27" t="s">
        <v>41</v>
      </c>
      <c r="I14" s="27"/>
      <c r="J14" s="27"/>
      <c r="K14" s="10" t="s">
        <v>47</v>
      </c>
    </row>
    <row r="15" spans="2:12" x14ac:dyDescent="0.15">
      <c r="B15" s="27"/>
      <c r="C15" s="27"/>
      <c r="D15" s="29" t="s">
        <v>36</v>
      </c>
      <c r="E15" s="29" t="s">
        <v>37</v>
      </c>
      <c r="F15" s="29" t="s">
        <v>135</v>
      </c>
      <c r="G15" s="29" t="s">
        <v>40</v>
      </c>
      <c r="H15" s="29" t="s">
        <v>44</v>
      </c>
      <c r="I15" s="29" t="s">
        <v>45</v>
      </c>
      <c r="J15" s="29" t="s">
        <v>46</v>
      </c>
      <c r="K15" s="29" t="s">
        <v>48</v>
      </c>
    </row>
    <row r="16" spans="2:12" x14ac:dyDescent="0.15">
      <c r="B16" s="27"/>
      <c r="C16" s="27"/>
      <c r="D16" s="28"/>
      <c r="E16" s="28"/>
      <c r="F16" s="28"/>
      <c r="G16" s="28"/>
      <c r="H16" s="28"/>
      <c r="I16" s="28"/>
      <c r="J16" s="28"/>
      <c r="K16" s="28"/>
    </row>
    <row r="17" spans="2:11" x14ac:dyDescent="0.15">
      <c r="B17" s="28" t="s">
        <v>13</v>
      </c>
      <c r="C17" s="13">
        <v>2022</v>
      </c>
      <c r="D17" s="13">
        <f>'2022 Financials'!I8/'2022 Financials'!K8</f>
        <v>0.85426839917752206</v>
      </c>
      <c r="E17" s="13">
        <f>('2022 Financials'!I8+'2022 Financials'!N8)/'2022 Financials'!K8</f>
        <v>0.83091597788604721</v>
      </c>
      <c r="F17" s="13">
        <f>'2022 Financials'!J8/'2022 Financials'!L8</f>
        <v>0.75488547873323075</v>
      </c>
      <c r="G17" s="23">
        <f>-('2022 Financials'!D8/'2022 Financials'!F8)</f>
        <v>12.826364522893071</v>
      </c>
      <c r="H17" s="15">
        <f>'2022 Financials'!E8/'2022 Financials'!C8</f>
        <v>0.27409686093142355</v>
      </c>
      <c r="I17" s="15">
        <f>'2022 Financials'!E8/'2022 Financials'!H8</f>
        <v>5.1615562702792391E-2</v>
      </c>
      <c r="J17" s="15">
        <f>'2022 Financials'!E8/'2022 Financials'!L8</f>
        <v>9.0579401463774911E-2</v>
      </c>
      <c r="K17" s="13">
        <f>'2022 Financials'!C8/'2022 Financials'!H8</f>
        <v>0.18831139666245983</v>
      </c>
    </row>
    <row r="18" spans="2:11" x14ac:dyDescent="0.15">
      <c r="B18" s="27"/>
      <c r="C18" s="13">
        <v>2023</v>
      </c>
      <c r="D18" s="13">
        <f>'2023 Financials'!I8/'2023 Financials'!K8</f>
        <v>1.2562242370872503</v>
      </c>
      <c r="E18" s="13">
        <f>('2023 Financials'!I8+'2023 Financials'!N8)/'2023 Financials'!K8</f>
        <v>1.2411773851333443</v>
      </c>
      <c r="F18" s="13">
        <f>'2023 Financials'!J8/'2023 Financials'!L8</f>
        <v>0.60538520923479211</v>
      </c>
      <c r="G18" s="23">
        <f>-('2023 Financials'!D8/'2023 Financials'!F8)</f>
        <v>23.542898152901607</v>
      </c>
      <c r="H18" s="15">
        <f>'2023 Financials'!E8/'2023 Financials'!C8</f>
        <v>0.4347407782653947</v>
      </c>
      <c r="I18" s="15">
        <f>'2023 Financials'!E8/'2023 Financials'!H8</f>
        <v>8.3425171598816253E-2</v>
      </c>
      <c r="J18" s="15">
        <f>'2023 Financials'!E8/'2023 Financials'!L8</f>
        <v>0.13392953656261405</v>
      </c>
      <c r="K18" s="13">
        <f>'2023 Financials'!C8/'2023 Financials'!H8</f>
        <v>0.1918963570237894</v>
      </c>
    </row>
    <row r="19" spans="2:11" x14ac:dyDescent="0.15">
      <c r="B19" s="27"/>
      <c r="C19" s="13">
        <v>2024</v>
      </c>
      <c r="D19" s="13">
        <f>'2024 Financials'!I8/'2024 Financials'!K8</f>
        <v>1.306330664835881</v>
      </c>
      <c r="E19" s="13">
        <f>('2024 Financials'!I8+'2024 Financials'!N8)/'2024 Financials'!K8</f>
        <v>1.296329615191119</v>
      </c>
      <c r="F19" s="13">
        <f>'2024 Financials'!J8/'2024 Financials'!L8</f>
        <v>0.6677663297173394</v>
      </c>
      <c r="G19" s="23">
        <f>-('2024 Financials'!D8/'2024 Financials'!F8)</f>
        <v>33.260331960973083</v>
      </c>
      <c r="H19" s="15">
        <f>'2024 Financials'!E8/'2024 Financials'!C8</f>
        <v>0.38062155892760779</v>
      </c>
      <c r="I19" s="15">
        <f>'2024 Financials'!E8/'2024 Financials'!H8</f>
        <v>8.4344889971917039E-2</v>
      </c>
      <c r="J19" s="15">
        <f>'2024 Financials'!E8/'2024 Financials'!L8</f>
        <v>0.14066756757887688</v>
      </c>
      <c r="K19" s="13">
        <f>'2024 Financials'!C8/'2024 Financials'!H8</f>
        <v>0.22159777341450854</v>
      </c>
    </row>
    <row r="20" spans="2:11" x14ac:dyDescent="0.15">
      <c r="B20" s="27" t="s">
        <v>14</v>
      </c>
      <c r="C20" s="13">
        <v>2022</v>
      </c>
      <c r="D20" s="13">
        <f>'2022 Financials'!I9/'2022 Financials'!K9</f>
        <v>2.216418971310282</v>
      </c>
      <c r="E20" s="13">
        <f>('2022 Financials'!I9+'2022 Financials'!N9)/'2022 Financials'!K9</f>
        <v>2.0066033766213773</v>
      </c>
      <c r="F20" s="13">
        <f>'2022 Financials'!J9/'2022 Financials'!L9</f>
        <v>0.43879129090583757</v>
      </c>
      <c r="G20" s="23">
        <f>-('2022 Financials'!D9/'2022 Financials'!F9)</f>
        <v>12.134654196458746</v>
      </c>
      <c r="H20" s="15">
        <f>'2022 Financials'!E9/'2022 Financials'!C9</f>
        <v>0.12832237309374459</v>
      </c>
      <c r="I20" s="15">
        <f>'2022 Financials'!E9/'2022 Financials'!H9</f>
        <v>7.5031576305719036E-2</v>
      </c>
      <c r="J20" s="15">
        <f>'2022 Financials'!E9/'2022 Financials'!L9</f>
        <v>0.10795477853160534</v>
      </c>
      <c r="K20" s="13">
        <f>'2022 Financials'!C9/'2022 Financials'!H9</f>
        <v>0.58471157052952494</v>
      </c>
    </row>
    <row r="21" spans="2:11" ht="15" customHeight="1" x14ac:dyDescent="0.15">
      <c r="B21" s="27"/>
      <c r="C21" s="13">
        <v>2023</v>
      </c>
      <c r="D21" s="13">
        <f>'2023 Financials'!I9/'2023 Financials'!K9</f>
        <v>1.905371621855803</v>
      </c>
      <c r="E21" s="13">
        <f>('2023 Financials'!I9+'2023 Financials'!N9)/'2023 Financials'!K9</f>
        <v>1.707332880987984</v>
      </c>
      <c r="F21" s="13">
        <f>'2023 Financials'!J9/'2023 Financials'!L9</f>
        <v>0.50745914611721044</v>
      </c>
      <c r="G21" s="23">
        <f>-('2023 Financials'!D9/'2023 Financials'!F9)</f>
        <v>1.4229028741896621</v>
      </c>
      <c r="H21" s="15">
        <f>'2023 Financials'!E9/'2023 Financials'!C9</f>
        <v>-2.7150249919832017E-3</v>
      </c>
      <c r="I21" s="15">
        <f>'2023 Financials'!E9/'2023 Financials'!H9</f>
        <v>-1.3053754034774542E-3</v>
      </c>
      <c r="J21" s="15">
        <f>'2023 Financials'!E9/'2023 Financials'!L9</f>
        <v>-1.9678000910885321E-3</v>
      </c>
      <c r="K21" s="13">
        <f>'2023 Financials'!C9/'2023 Financials'!H9</f>
        <v>0.48079682777576838</v>
      </c>
    </row>
    <row r="22" spans="2:11" ht="15" customHeight="1" x14ac:dyDescent="0.15">
      <c r="B22" s="27"/>
      <c r="C22" s="13">
        <v>2024</v>
      </c>
      <c r="D22" s="13">
        <f>'2024 Financials'!I9/'2024 Financials'!K9</f>
        <v>2.0136904443963775</v>
      </c>
      <c r="E22" s="13">
        <f>('2024 Financials'!I9+'2024 Financials'!N9)/'2024 Financials'!K9</f>
        <v>1.7909347876743205</v>
      </c>
      <c r="F22" s="13">
        <f>'2024 Financials'!J9/'2024 Financials'!L9</f>
        <v>0.51164406229185888</v>
      </c>
      <c r="G22" s="23">
        <f>-('2024 Financials'!D9/'2024 Financials'!F9)</f>
        <v>2.0343173077161731</v>
      </c>
      <c r="H22" s="15">
        <f>'2024 Financials'!E9/'2024 Financials'!C9</f>
        <v>2.6597526083990269E-2</v>
      </c>
      <c r="I22" s="15">
        <f>'2024 Financials'!E9/'2024 Financials'!H9</f>
        <v>1.3391666656145796E-2</v>
      </c>
      <c r="J22" s="15">
        <f>'2024 Financials'!E9/'2024 Financials'!L9</f>
        <v>2.0243433384954664E-2</v>
      </c>
      <c r="K22" s="13">
        <f>'2024 Financials'!C9/'2024 Financials'!H9</f>
        <v>0.50349294193216643</v>
      </c>
    </row>
    <row r="23" spans="2:11" ht="12" customHeight="1" x14ac:dyDescent="0.15">
      <c r="B23" s="27" t="s">
        <v>43</v>
      </c>
      <c r="C23" s="13">
        <v>2022</v>
      </c>
      <c r="D23" s="13">
        <f>'2022 Financials'!I10/'2022 Financials'!K10</f>
        <v>1.0570660626567012</v>
      </c>
      <c r="E23" s="13">
        <f>('2022 Financials'!I10+'2022 Financials'!N10)/'2022 Financials'!K10</f>
        <v>1.0552293945294728</v>
      </c>
      <c r="F23" s="13">
        <f>'2022 Financials'!J10/'2022 Financials'!L10</f>
        <v>6.9520068592251212</v>
      </c>
      <c r="G23" s="23">
        <f>-('2022 Financials'!D10/'2022 Financials'!F10)</f>
        <v>2.1376172090457803</v>
      </c>
      <c r="H23" s="15">
        <f>'2022 Financials'!E10/'2022 Financials'!C10</f>
        <v>0.40022149075583724</v>
      </c>
      <c r="I23" s="15">
        <f>'2022 Financials'!E10/'2022 Financials'!H10</f>
        <v>1.7534590720279478E-2</v>
      </c>
      <c r="J23" s="15">
        <f>'2022 Financials'!E10/'2022 Financials'!L10</f>
        <v>0.13943518568136756</v>
      </c>
      <c r="K23" s="13">
        <f>'2022 Financials'!C10/'2022 Financials'!H10</f>
        <v>4.3812216798164862E-2</v>
      </c>
    </row>
    <row r="24" spans="2:11" x14ac:dyDescent="0.15">
      <c r="B24" s="27"/>
      <c r="C24" s="13">
        <v>2023</v>
      </c>
      <c r="D24" s="13">
        <f>'2023 Financials'!I10/'2023 Financials'!K10</f>
        <v>1.103806815223173</v>
      </c>
      <c r="E24" s="13">
        <f>('2023 Financials'!I10+'2023 Financials'!N10)/'2023 Financials'!K10</f>
        <v>1.100285861533812</v>
      </c>
      <c r="F24" s="13">
        <f>'2023 Financials'!J10/'2023 Financials'!L10</f>
        <v>6.8453879169243086</v>
      </c>
      <c r="G24" s="23">
        <f>-('2023 Financials'!D10/'2023 Financials'!F10)</f>
        <v>1.2414121003209317</v>
      </c>
      <c r="H24" s="15">
        <f>'2023 Financials'!E10/'2023 Financials'!C10</f>
        <v>0.50016268476340997</v>
      </c>
      <c r="I24" s="15">
        <f>'2023 Financials'!E10/'2023 Financials'!H10</f>
        <v>2.4943988743273145E-2</v>
      </c>
      <c r="J24" s="15">
        <f>'2023 Financials'!E10/'2023 Financials'!L10</f>
        <v>0.19569526788637109</v>
      </c>
      <c r="K24" s="13">
        <f>'2023 Financials'!C10/'2023 Financials'!H10</f>
        <v>4.9871750738606786E-2</v>
      </c>
    </row>
    <row r="25" spans="2:11" x14ac:dyDescent="0.15">
      <c r="B25" s="27"/>
      <c r="C25" s="13">
        <v>2024</v>
      </c>
      <c r="D25" s="13">
        <f>'2024 Financials'!I10/'2024 Financials'!K10</f>
        <v>1.1064701732095426</v>
      </c>
      <c r="E25" s="13">
        <f>('2024 Financials'!I10+'2024 Financials'!N10)/'2024 Financials'!K10</f>
        <v>1.1004354248666557</v>
      </c>
      <c r="F25" s="13">
        <f>'2024 Financials'!J10/'2024 Financials'!L10</f>
        <v>6.8959703360958375</v>
      </c>
      <c r="G25" s="23">
        <f>-('2024 Financials'!D10/'2024 Financials'!F10)</f>
        <v>0.71054724041159956</v>
      </c>
      <c r="H25" s="15">
        <f>'2024 Financials'!E10/'2024 Financials'!C10</f>
        <v>0.52132143018987631</v>
      </c>
      <c r="I25" s="15">
        <f>'2024 Financials'!E10/'2024 Financials'!H10</f>
        <v>2.3086911062009947E-2</v>
      </c>
      <c r="J25" s="15">
        <f>'2024 Financials'!E10/'2024 Financials'!L10</f>
        <v>0.18229356489771342</v>
      </c>
      <c r="K25" s="13">
        <f>'2024 Financials'!C10/'2024 Financials'!H10</f>
        <v>4.4285367385724396E-2</v>
      </c>
    </row>
    <row r="26" spans="2:11" x14ac:dyDescent="0.15">
      <c r="B26" s="27" t="s">
        <v>15</v>
      </c>
      <c r="C26" s="13">
        <v>2022</v>
      </c>
      <c r="D26" s="13">
        <f>'2022 Financials'!I11/'2022 Financials'!K11</f>
        <v>1.6700597008299196</v>
      </c>
      <c r="E26" s="13">
        <f>('2022 Financials'!I11+'2022 Financials'!N11)/'2022 Financials'!K11</f>
        <v>1.458472357432236</v>
      </c>
      <c r="F26" s="13">
        <f>'2022 Financials'!J11/'2022 Financials'!L11</f>
        <v>0.80491834907382243</v>
      </c>
      <c r="G26" s="23">
        <f>-('2022 Financials'!D11/'2022 Financials'!F11)</f>
        <v>20.336862369042869</v>
      </c>
      <c r="H26" s="15">
        <f>'2022 Financials'!E11/'2022 Financials'!C11</f>
        <v>0.18369624804390514</v>
      </c>
      <c r="I26" s="15">
        <f>'2022 Financials'!E11/'2022 Financials'!H11</f>
        <v>9.0270538287330823E-2</v>
      </c>
      <c r="J26" s="15">
        <f>'2022 Financials'!E11/'2022 Financials'!L11</f>
        <v>0.16293095093557444</v>
      </c>
      <c r="K26" s="13">
        <f>'2022 Financials'!C11/'2022 Financials'!H11</f>
        <v>0.49141198717218937</v>
      </c>
    </row>
    <row r="27" spans="2:11" x14ac:dyDescent="0.15">
      <c r="B27" s="27"/>
      <c r="C27" s="13">
        <v>2023</v>
      </c>
      <c r="D27" s="13">
        <f>'2023 Financials'!I11/'2023 Financials'!K11</f>
        <v>1.4861792941475092</v>
      </c>
      <c r="E27" s="13">
        <f>('2023 Financials'!I11+'2023 Financials'!N11)/'2023 Financials'!K11</f>
        <v>1.2852414833341796</v>
      </c>
      <c r="F27" s="13">
        <f>'2023 Financials'!J11/'2023 Financials'!L11</f>
        <v>0.95848057280531085</v>
      </c>
      <c r="G27" s="23">
        <f>-('2023 Financials'!D11/'2023 Financials'!F11)</f>
        <v>14.095231541556892</v>
      </c>
      <c r="H27" s="15">
        <f>'2023 Financials'!E11/'2023 Financials'!C11</f>
        <v>0.18696029228573138</v>
      </c>
      <c r="I27" s="15">
        <f>'2023 Financials'!E11/'2023 Financials'!H11</f>
        <v>8.4057790433650359E-2</v>
      </c>
      <c r="J27" s="15">
        <f>'2023 Financials'!E11/'2023 Financials'!L11</f>
        <v>0.16462554955724434</v>
      </c>
      <c r="K27" s="13">
        <f>'2023 Financials'!C11/'2023 Financials'!H11</f>
        <v>0.44960236960469047</v>
      </c>
    </row>
    <row r="28" spans="2:11" x14ac:dyDescent="0.15">
      <c r="B28" s="27"/>
      <c r="C28" s="13">
        <v>2024</v>
      </c>
      <c r="D28" s="13">
        <f>'2024 Financials'!I11/'2024 Financials'!K11</f>
        <v>1.8679187409695202</v>
      </c>
      <c r="E28" s="13">
        <f>('2024 Financials'!I11+'2024 Financials'!N11)/'2024 Financials'!K11</f>
        <v>1.5659668159631648</v>
      </c>
      <c r="F28" s="13">
        <f>'2024 Financials'!J11/'2024 Financials'!L11</f>
        <v>0.73690935141115299</v>
      </c>
      <c r="G28" s="23">
        <f>-('2024 Financials'!D11/'2024 Financials'!F11)</f>
        <v>10.835984076895205</v>
      </c>
      <c r="H28" s="15">
        <f>'2024 Financials'!E11/'2024 Financials'!C11</f>
        <v>0.32830573847034655</v>
      </c>
      <c r="I28" s="15">
        <f>'2024 Financials'!E11/'2024 Financials'!H11</f>
        <v>0.15510788742123344</v>
      </c>
      <c r="J28" s="15">
        <f>'2024 Financials'!E11/'2024 Financials'!L11</f>
        <v>0.26940834013956871</v>
      </c>
      <c r="K28" s="13">
        <f>'2024 Financials'!C11/'2024 Financials'!H11</f>
        <v>0.47244951655099743</v>
      </c>
    </row>
    <row r="29" spans="2:11" x14ac:dyDescent="0.15">
      <c r="B29" s="27" t="s">
        <v>16</v>
      </c>
      <c r="C29" s="13">
        <v>2022</v>
      </c>
      <c r="D29" s="13">
        <f>'2022 Financials'!I12/'2022 Financials'!K12</f>
        <v>1.2832712009111085</v>
      </c>
      <c r="E29" s="13">
        <f>('2022 Financials'!I12+'2022 Financials'!N12)/'2022 Financials'!K12</f>
        <v>1.0764636542496648</v>
      </c>
      <c r="F29" s="13">
        <f>'2022 Financials'!J12/'2022 Financials'!L12</f>
        <v>1.1962830249444854</v>
      </c>
      <c r="G29" s="23">
        <f>-('2022 Financials'!D12/'2022 Financials'!F12)</f>
        <v>4.4238976725612522</v>
      </c>
      <c r="H29" s="15">
        <f>'2022 Financials'!E12/'2022 Financials'!C12</f>
        <v>0.12163563393441518</v>
      </c>
      <c r="I29" s="15">
        <f>'2022 Financials'!E12/'2022 Financials'!H12</f>
        <v>4.4646336194071365E-2</v>
      </c>
      <c r="J29" s="15">
        <f>'2022 Financials'!E12/'2022 Financials'!L12</f>
        <v>9.8055990309003499E-2</v>
      </c>
      <c r="K29" s="13">
        <f>'2022 Financials'!C12/'2022 Financials'!H12</f>
        <v>0.36704980892477823</v>
      </c>
    </row>
    <row r="30" spans="2:11" x14ac:dyDescent="0.15">
      <c r="B30" s="27"/>
      <c r="C30" s="13">
        <v>2023</v>
      </c>
      <c r="D30" s="13">
        <f>'2023 Financials'!I12/'2023 Financials'!K12</f>
        <v>1.5060866593280162</v>
      </c>
      <c r="E30" s="13">
        <f>('2023 Financials'!I12+'2023 Financials'!N12)/'2023 Financials'!K12</f>
        <v>1.2318247597979273</v>
      </c>
      <c r="F30" s="13">
        <f>'2023 Financials'!J12/'2023 Financials'!L12</f>
        <v>0.9038327288179322</v>
      </c>
      <c r="G30" s="23">
        <f>-('2023 Financials'!D12/'2023 Financials'!F12)</f>
        <v>6.2274086358481586</v>
      </c>
      <c r="H30" s="15">
        <f>'2023 Financials'!E12/'2023 Financials'!C12</f>
        <v>0.15159644770187714</v>
      </c>
      <c r="I30" s="15">
        <f>'2023 Financials'!E12/'2023 Financials'!H12</f>
        <v>6.0326909226172176E-2</v>
      </c>
      <c r="J30" s="15">
        <f>'2023 Financials'!E12/'2023 Financials'!L12</f>
        <v>0.11485234421321507</v>
      </c>
      <c r="K30" s="13">
        <f>'2023 Financials'!C12/'2023 Financials'!H12</f>
        <v>0.39794408207247978</v>
      </c>
    </row>
    <row r="31" spans="2:11" x14ac:dyDescent="0.15">
      <c r="B31" s="27"/>
      <c r="C31" s="13">
        <v>2024</v>
      </c>
      <c r="D31" s="13">
        <f>'2024 Financials'!I12/'2024 Financials'!K12</f>
        <v>1.5881322847824679</v>
      </c>
      <c r="E31" s="13">
        <f>('2024 Financials'!I12+'2024 Financials'!N12)/'2024 Financials'!K12</f>
        <v>1.3551660533673584</v>
      </c>
      <c r="F31" s="13">
        <f>'2024 Financials'!J12/'2024 Financials'!L12</f>
        <v>0.90894603869337887</v>
      </c>
      <c r="G31" s="23">
        <f>-('2024 Financials'!D12/'2024 Financials'!F12)</f>
        <v>7.7224375440352642</v>
      </c>
      <c r="H31" s="15">
        <f>'2024 Financials'!E12/'2024 Financials'!C12</f>
        <v>0.17067739919322111</v>
      </c>
      <c r="I31" s="15">
        <f>'2024 Financials'!E12/'2024 Financials'!H12</f>
        <v>6.5012486536928246E-2</v>
      </c>
      <c r="J31" s="15">
        <f>'2024 Financials'!E12/'2024 Financials'!L12</f>
        <v>0.12410532864027581</v>
      </c>
      <c r="K31" s="13">
        <f>'2024 Financials'!C12/'2024 Financials'!H12</f>
        <v>0.38090858452400411</v>
      </c>
    </row>
    <row r="32" spans="2:11" x14ac:dyDescent="0.15">
      <c r="C32" s="9"/>
      <c r="D32" s="9"/>
      <c r="K32" s="31" t="s">
        <v>68</v>
      </c>
    </row>
    <row r="33" spans="2:11" x14ac:dyDescent="0.15">
      <c r="B33" s="4"/>
      <c r="K33" s="32"/>
    </row>
    <row r="34" spans="2:11" x14ac:dyDescent="0.15">
      <c r="K34" s="32"/>
    </row>
    <row r="35" spans="2:11" x14ac:dyDescent="0.15">
      <c r="J35" s="14"/>
      <c r="K35" s="32"/>
    </row>
    <row r="36" spans="2:11" x14ac:dyDescent="0.15">
      <c r="K36" s="32"/>
    </row>
    <row r="37" spans="2:11" x14ac:dyDescent="0.15">
      <c r="K37" s="32"/>
    </row>
    <row r="38" spans="2:11" x14ac:dyDescent="0.15">
      <c r="K38" s="32"/>
    </row>
    <row r="39" spans="2:11" x14ac:dyDescent="0.15">
      <c r="K39" s="32"/>
    </row>
    <row r="40" spans="2:11" x14ac:dyDescent="0.15">
      <c r="K40" s="32"/>
    </row>
    <row r="41" spans="2:11" x14ac:dyDescent="0.15">
      <c r="K41" s="32"/>
    </row>
    <row r="42" spans="2:11" x14ac:dyDescent="0.15">
      <c r="K42" s="32"/>
    </row>
  </sheetData>
  <mergeCells count="47">
    <mergeCell ref="H3:K3"/>
    <mergeCell ref="K32:K42"/>
    <mergeCell ref="E7:G7"/>
    <mergeCell ref="E6:G6"/>
    <mergeCell ref="E11:G11"/>
    <mergeCell ref="E10:G10"/>
    <mergeCell ref="H4:K4"/>
    <mergeCell ref="H5:K5"/>
    <mergeCell ref="H6:K6"/>
    <mergeCell ref="H7:K7"/>
    <mergeCell ref="E3:G3"/>
    <mergeCell ref="E5:G5"/>
    <mergeCell ref="E4:G4"/>
    <mergeCell ref="E9:G9"/>
    <mergeCell ref="E8:G8"/>
    <mergeCell ref="H8:K8"/>
    <mergeCell ref="H9:K9"/>
    <mergeCell ref="F14:G14"/>
    <mergeCell ref="H15:H16"/>
    <mergeCell ref="I15:I16"/>
    <mergeCell ref="H10:K10"/>
    <mergeCell ref="H11:K11"/>
    <mergeCell ref="K15:K16"/>
    <mergeCell ref="F15:F16"/>
    <mergeCell ref="G15:G16"/>
    <mergeCell ref="B26:B28"/>
    <mergeCell ref="B29:B31"/>
    <mergeCell ref="D15:D16"/>
    <mergeCell ref="E15:E16"/>
    <mergeCell ref="B20:B22"/>
    <mergeCell ref="B23:B25"/>
    <mergeCell ref="D14:E14"/>
    <mergeCell ref="B17:B19"/>
    <mergeCell ref="C14:C16"/>
    <mergeCell ref="B14:B16"/>
    <mergeCell ref="J15:J16"/>
    <mergeCell ref="H14:J14"/>
    <mergeCell ref="B3:B11"/>
    <mergeCell ref="C8:D8"/>
    <mergeCell ref="C9:D9"/>
    <mergeCell ref="C10:D10"/>
    <mergeCell ref="C11:D11"/>
    <mergeCell ref="C3:D3"/>
    <mergeCell ref="C4:D4"/>
    <mergeCell ref="C5:D5"/>
    <mergeCell ref="C6:D6"/>
    <mergeCell ref="C7:D7"/>
  </mergeCells>
  <conditionalFormatting sqref="D17:D31">
    <cfRule type="iconSet" priority="10">
      <iconSet iconSet="3Symbols2">
        <cfvo type="percent" val="0"/>
        <cfvo type="num" val="1"/>
        <cfvo type="num" val="1.5" gte="0"/>
      </iconSet>
    </cfRule>
  </conditionalFormatting>
  <conditionalFormatting sqref="E17:E31">
    <cfRule type="iconSet" priority="9">
      <iconSet iconSet="3Symbols2">
        <cfvo type="percent" val="0"/>
        <cfvo type="num" val="1" gte="0"/>
        <cfvo type="num" val="1" gte="0"/>
      </iconSet>
    </cfRule>
  </conditionalFormatting>
  <conditionalFormatting sqref="H17:H31">
    <cfRule type="iconSet" priority="6">
      <iconSet iconSet="3Symbols2">
        <cfvo type="percent" val="0"/>
        <cfvo type="num" val="0.05"/>
        <cfvo type="num" val="0.1" gte="0"/>
      </iconSet>
    </cfRule>
  </conditionalFormatting>
  <conditionalFormatting sqref="J17:J31">
    <cfRule type="iconSet" priority="4">
      <iconSet iconSet="3Symbols2">
        <cfvo type="percent" val="0"/>
        <cfvo type="num" val="0.08"/>
        <cfvo type="num" val="0.15" gte="0"/>
      </iconSet>
    </cfRule>
  </conditionalFormatting>
  <conditionalFormatting sqref="K17:K31">
    <cfRule type="iconSet" priority="3">
      <iconSet iconSet="3Symbols2">
        <cfvo type="percent" val="0"/>
        <cfvo type="num" val="0.5"/>
        <cfvo type="num" val="1" gte="0"/>
      </iconSe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902E2732-5885-4043-9B4F-8371FC605736}">
            <x14:iconSet iconSet="3Symbols2" custom="1">
              <x14:cfvo type="percent">
                <xm:f>0</xm:f>
              </x14:cfvo>
              <x14:cfvo type="num">
                <xm:f>1.5</xm:f>
              </x14:cfvo>
              <x14:cfvo type="num" gte="0">
                <xm:f>2.5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F17:F31</xm:sqref>
        </x14:conditionalFormatting>
        <x14:conditionalFormatting xmlns:xm="http://schemas.microsoft.com/office/excel/2006/main">
          <x14:cfRule type="iconSet" priority="7" id="{4451DD16-433C-444D-9CB2-1C2BDE85CEC3}">
            <x14:iconSet iconSet="3Symbols2" custom="1">
              <x14:cfvo type="percent">
                <xm:f>0</xm:f>
              </x14:cfvo>
              <x14:cfvo type="num">
                <xm:f>2</xm:f>
              </x14:cfvo>
              <x14:cfvo type="num" gte="0">
                <xm:f>5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G17:G31</xm:sqref>
        </x14:conditionalFormatting>
        <x14:conditionalFormatting xmlns:xm="http://schemas.microsoft.com/office/excel/2006/main">
          <x14:cfRule type="iconSet" priority="1" id="{AAB5E639-59B5-974B-86F3-87591CB7340E}">
            <x14:iconSet custom="1">
              <x14:cfvo type="percent">
                <xm:f>0</xm:f>
              </x14:cfvo>
              <x14:cfvo type="num">
                <xm:f>0.02</xm:f>
              </x14:cfvo>
              <x14:cfvo type="num" gte="0">
                <xm:f>0.05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I17:I31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85B1-23FF-104F-866B-BD2A32AA2A6B}">
  <dimension ref="B1:M26"/>
  <sheetViews>
    <sheetView topLeftCell="B1" zoomScale="111" zoomScaleNormal="400" workbookViewId="0">
      <selection activeCell="A20" sqref="A20:XFD20"/>
    </sheetView>
  </sheetViews>
  <sheetFormatPr baseColWidth="10" defaultRowHeight="12" x14ac:dyDescent="0.15"/>
  <cols>
    <col min="1" max="1" width="2.1640625" style="1" customWidth="1"/>
    <col min="2" max="2" width="31.33203125" style="1" bestFit="1" customWidth="1"/>
    <col min="3" max="3" width="6" style="1" bestFit="1" customWidth="1"/>
    <col min="4" max="4" width="10.6640625" style="1" bestFit="1" customWidth="1"/>
    <col min="5" max="5" width="9.5" style="1" bestFit="1" customWidth="1"/>
    <col min="6" max="6" width="11.1640625" style="1" bestFit="1" customWidth="1"/>
    <col min="7" max="7" width="13" style="1" customWidth="1"/>
    <col min="8" max="8" width="13.33203125" style="1" bestFit="1" customWidth="1"/>
    <col min="9" max="10" width="11" style="1" customWidth="1"/>
    <col min="11" max="11" width="12.5" style="1" bestFit="1" customWidth="1"/>
    <col min="12" max="14" width="10.83203125" style="1"/>
    <col min="15" max="15" width="11" style="1" bestFit="1" customWidth="1"/>
    <col min="16" max="16384" width="10.83203125" style="1"/>
  </cols>
  <sheetData>
    <row r="1" spans="2:13" ht="16" x14ac:dyDescent="0.2">
      <c r="B1" s="2" t="s">
        <v>129</v>
      </c>
      <c r="D1" s="10" t="s">
        <v>81</v>
      </c>
      <c r="E1" s="10" t="s">
        <v>82</v>
      </c>
      <c r="G1" s="10" t="s">
        <v>69</v>
      </c>
      <c r="H1" s="10" t="s">
        <v>70</v>
      </c>
      <c r="I1" s="10" t="s">
        <v>71</v>
      </c>
      <c r="K1" s="10" t="s">
        <v>88</v>
      </c>
      <c r="L1" s="10" t="s">
        <v>87</v>
      </c>
    </row>
    <row r="2" spans="2:13" ht="12" customHeight="1" x14ac:dyDescent="0.15">
      <c r="B2" s="40" t="s">
        <v>111</v>
      </c>
      <c r="C2" s="18"/>
      <c r="D2" s="11" t="s">
        <v>83</v>
      </c>
      <c r="E2" s="16">
        <v>0.2</v>
      </c>
      <c r="G2" s="13" t="s">
        <v>72</v>
      </c>
      <c r="H2" s="13" t="s">
        <v>75</v>
      </c>
      <c r="I2" s="13" t="s">
        <v>78</v>
      </c>
      <c r="K2" s="13" t="s">
        <v>95</v>
      </c>
      <c r="L2" s="13" t="s">
        <v>89</v>
      </c>
    </row>
    <row r="3" spans="2:13" x14ac:dyDescent="0.15">
      <c r="B3" s="40"/>
      <c r="C3" s="18"/>
      <c r="D3" s="11" t="s">
        <v>84</v>
      </c>
      <c r="E3" s="16">
        <v>0.25</v>
      </c>
      <c r="G3" s="13" t="s">
        <v>73</v>
      </c>
      <c r="H3" s="13" t="s">
        <v>76</v>
      </c>
      <c r="I3" s="13" t="s">
        <v>79</v>
      </c>
      <c r="K3" s="13" t="s">
        <v>96</v>
      </c>
      <c r="L3" s="13" t="s">
        <v>90</v>
      </c>
    </row>
    <row r="4" spans="2:13" x14ac:dyDescent="0.15">
      <c r="B4" s="40"/>
      <c r="C4" s="18"/>
      <c r="D4" s="11" t="s">
        <v>85</v>
      </c>
      <c r="E4" s="16">
        <v>0.35</v>
      </c>
      <c r="G4" s="13" t="s">
        <v>74</v>
      </c>
      <c r="H4" s="13" t="s">
        <v>77</v>
      </c>
      <c r="I4" s="13" t="s">
        <v>80</v>
      </c>
      <c r="K4" s="13" t="s">
        <v>97</v>
      </c>
      <c r="L4" s="13" t="s">
        <v>91</v>
      </c>
    </row>
    <row r="5" spans="2:13" x14ac:dyDescent="0.15">
      <c r="B5" s="40"/>
      <c r="C5" s="18"/>
      <c r="D5" s="11" t="s">
        <v>86</v>
      </c>
      <c r="E5" s="16">
        <v>0.2</v>
      </c>
      <c r="K5" s="13" t="s">
        <v>98</v>
      </c>
      <c r="L5" s="13" t="s">
        <v>92</v>
      </c>
    </row>
    <row r="6" spans="2:13" x14ac:dyDescent="0.15">
      <c r="K6" s="13" t="s">
        <v>99</v>
      </c>
      <c r="L6" s="13" t="s">
        <v>93</v>
      </c>
    </row>
    <row r="7" spans="2:13" x14ac:dyDescent="0.15">
      <c r="K7" s="13" t="s">
        <v>100</v>
      </c>
      <c r="L7" s="13" t="s">
        <v>94</v>
      </c>
    </row>
    <row r="9" spans="2:13" ht="26" customHeight="1" x14ac:dyDescent="0.15">
      <c r="B9" s="27" t="s">
        <v>35</v>
      </c>
      <c r="C9" s="27" t="s">
        <v>42</v>
      </c>
      <c r="D9" s="27" t="s">
        <v>34</v>
      </c>
      <c r="E9" s="27"/>
      <c r="F9" s="27" t="s">
        <v>38</v>
      </c>
      <c r="G9" s="27"/>
      <c r="H9" s="27" t="s">
        <v>41</v>
      </c>
      <c r="I9" s="27"/>
      <c r="J9" s="27"/>
      <c r="K9" s="10" t="s">
        <v>47</v>
      </c>
      <c r="L9" s="39" t="s">
        <v>132</v>
      </c>
      <c r="M9" s="27" t="s">
        <v>87</v>
      </c>
    </row>
    <row r="10" spans="2:13" x14ac:dyDescent="0.15">
      <c r="B10" s="27"/>
      <c r="C10" s="27"/>
      <c r="D10" s="27" t="s">
        <v>36</v>
      </c>
      <c r="E10" s="27" t="s">
        <v>37</v>
      </c>
      <c r="F10" s="27" t="s">
        <v>39</v>
      </c>
      <c r="G10" s="39" t="s">
        <v>40</v>
      </c>
      <c r="H10" s="27" t="s">
        <v>44</v>
      </c>
      <c r="I10" s="39" t="s">
        <v>45</v>
      </c>
      <c r="J10" s="39" t="s">
        <v>46</v>
      </c>
      <c r="K10" s="27" t="s">
        <v>48</v>
      </c>
      <c r="L10" s="39"/>
      <c r="M10" s="27"/>
    </row>
    <row r="11" spans="2:13" x14ac:dyDescent="0.15">
      <c r="B11" s="27"/>
      <c r="C11" s="27"/>
      <c r="D11" s="27"/>
      <c r="E11" s="27"/>
      <c r="F11" s="27"/>
      <c r="G11" s="39"/>
      <c r="H11" s="27"/>
      <c r="I11" s="39"/>
      <c r="J11" s="39"/>
      <c r="K11" s="27"/>
      <c r="L11" s="39"/>
      <c r="M11" s="27"/>
    </row>
    <row r="12" spans="2:13" x14ac:dyDescent="0.15">
      <c r="B12" s="27" t="s">
        <v>13</v>
      </c>
      <c r="C12" s="12">
        <v>2022</v>
      </c>
      <c r="D12" s="12" cm="1">
        <f t="array" ref="D12">_xlfn.IFS(Ratios!$D17&gt;=3,5,Ratios!$D17&gt;=2,4,Ratios!$D17&gt;=1.5,3,Ratios!$D17&gt;=1,2, TRUE,1)</f>
        <v>1</v>
      </c>
      <c r="E12" s="12" cm="1">
        <f t="array" ref="E12">_xlfn.IFS(Ratios!$E17&gt;=2,5,Ratios!$E17&gt;=1.5,4,Ratios!$E17&gt;=0.5,2, TRUE,1)</f>
        <v>2</v>
      </c>
      <c r="F12" s="12" cm="1">
        <f t="array" ref="F12">_xlfn.IFS(Ratios!$F17&lt;0.5,5,Ratios!$F17&lt;1,4,Ratios!$F17&lt;1.5,3,Ratios!$F17&lt;2.5,2, TRUE,1)</f>
        <v>4</v>
      </c>
      <c r="G12" s="22" cm="1">
        <f t="array" ref="G12">_xlfn.IFS(Ratios!$G17&gt;10,5,Ratios!$G17&gt;5,4,Ratios!$G17&gt;=2,3,Ratios!$G17&gt;=1,2, TRUE,1)</f>
        <v>5</v>
      </c>
      <c r="H12" s="12" cm="1">
        <f t="array" ref="H12">_xlfn.IFS(Ratios!$H17&gt;0.2,5,Ratios!$H17&gt;0.1,4,Ratios!$H17&gt;0.05,3,Ratios!$H17&gt;0.01,2, TRUE, 1)</f>
        <v>5</v>
      </c>
      <c r="I12" s="12" cm="1">
        <f t="array" ref="I12">_xlfn.IFS(Ratios!$I17&gt;0.1,5,Ratios!$I17&gt;0.05,4,Ratios!$I17&gt;0.02,3,Ratios!$I17&gt;0.01,2, TRUE,1)</f>
        <v>4</v>
      </c>
      <c r="J12" s="12" cm="1">
        <f t="array" ref="J12">_xlfn.IFS(Ratios!$J17&gt;0.2,5,Ratios!$J17&gt;0.15,4,Ratios!$J17&gt;0.08,3,Ratios!$J17&gt;0.04,2,TRUE,1)</f>
        <v>3</v>
      </c>
      <c r="K12" s="12" cm="1">
        <f t="array" ref="K12">_xlfn.IFS(Ratios!$K17&gt;1,5,Ratios!$K17&gt;0.7,4,Ratios!$K17&gt;0.5,3,Ratios!$K17&gt;0.3,2,TRUE,1)</f>
        <v>1</v>
      </c>
      <c r="L12" s="13">
        <f t="shared" ref="L12:L26" si="0">ROUND(0.1*$D12+0.1*$E12+0.15*$F12+0.15*$G12+0.2*$H12+0.1*$I12+0.1*$J12+0.1*$K12,2)</f>
        <v>3.45</v>
      </c>
      <c r="M12" s="13" t="str" cm="1">
        <f t="array" ref="M12">_xlfn.IFS($L12&gt;=4.5, "A1", $L12&gt;=4, "A2", $L12&gt;=3.5, "B1", $L12&gt;=3, "B2", $L12&gt;=2.5, "C1", TRUE, "C2")</f>
        <v>B2</v>
      </c>
    </row>
    <row r="13" spans="2:13" x14ac:dyDescent="0.15">
      <c r="B13" s="27"/>
      <c r="C13" s="12">
        <v>2023</v>
      </c>
      <c r="D13" s="12" cm="1">
        <f t="array" ref="D13">_xlfn.IFS(Ratios!$D18&gt;=3,5,Ratios!$D18&gt;=2,4,Ratios!$D18&gt;=1.5,3,Ratios!$D18&gt;=1,2, TRUE,1)</f>
        <v>2</v>
      </c>
      <c r="E13" s="12" cm="1">
        <f t="array" ref="E13">_xlfn.IFS(Ratios!$E18&gt;=2,5,Ratios!$E18&gt;=1.5,4,Ratios!$E18&gt;=0.5,2, TRUE,1)</f>
        <v>2</v>
      </c>
      <c r="F13" s="12" cm="1">
        <f t="array" ref="F13">_xlfn.IFS(Ratios!$F18&lt;0.5,5,Ratios!$F18&lt;1,4,Ratios!$F18&lt;1.5,3,Ratios!$F18&lt;2.5,2, TRUE,1)</f>
        <v>4</v>
      </c>
      <c r="G13" s="22" cm="1">
        <f t="array" ref="G13">_xlfn.IFS(Ratios!$G18&gt;10,5,Ratios!$G18&gt;5,4,Ratios!$G18&gt;=2,3,Ratios!$G18&gt;=1,2, TRUE,1)</f>
        <v>5</v>
      </c>
      <c r="H13" s="12" cm="1">
        <f t="array" ref="H13">_xlfn.IFS(Ratios!$H18&gt;0.2,5,Ratios!$H18&gt;0.1,4,Ratios!$H18&gt;0.05,3,Ratios!$H18&gt;0.01,2, TRUE, 1)</f>
        <v>5</v>
      </c>
      <c r="I13" s="12" cm="1">
        <f t="array" ref="I13">_xlfn.IFS(Ratios!$I18&gt;0.1,5,Ratios!$I18&gt;0.05,4,Ratios!$I18&gt;0.02,3,Ratios!$I18&gt;0.01,2, TRUE,1)</f>
        <v>4</v>
      </c>
      <c r="J13" s="12" cm="1">
        <f t="array" ref="J13">_xlfn.IFS(Ratios!$J18&gt;0.2,5,Ratios!$J18&gt;0.15,4,Ratios!$J18&gt;0.08,3,Ratios!$J18&gt;0.04,2,TRUE,1)</f>
        <v>3</v>
      </c>
      <c r="K13" s="12" cm="1">
        <f t="array" ref="K13">_xlfn.IFS(Ratios!$K18&gt;1,5,Ratios!$K18&gt;0.7,4,Ratios!$K18&gt;0.5,3,Ratios!$K18&gt;0.3,2,TRUE,1)</f>
        <v>1</v>
      </c>
      <c r="L13" s="13">
        <f t="shared" si="0"/>
        <v>3.55</v>
      </c>
      <c r="M13" s="13" t="str" cm="1">
        <f t="array" ref="M13">_xlfn.IFS($L13&gt;=4.5, "A1", $L13&gt;=4, "A2", $L13&gt;=3.5, "B1", $L13&gt;=3, "B2", $L13&gt;=2.5, "C1", TRUE, "C2")</f>
        <v>B1</v>
      </c>
    </row>
    <row r="14" spans="2:13" x14ac:dyDescent="0.15">
      <c r="B14" s="27"/>
      <c r="C14" s="12">
        <v>2024</v>
      </c>
      <c r="D14" s="12" cm="1">
        <f t="array" ref="D14">_xlfn.IFS(Ratios!$D19&gt;=3,5,Ratios!$D19&gt;=2,4,Ratios!$D19&gt;=1.5,3,Ratios!$D19&gt;=1,2, TRUE,1)</f>
        <v>2</v>
      </c>
      <c r="E14" s="12" cm="1">
        <f t="array" ref="E14">_xlfn.IFS(Ratios!$E19&gt;=2,5,Ratios!$E19&gt;=1.5,4,Ratios!$E19&gt;=0.5,2, TRUE,1)</f>
        <v>2</v>
      </c>
      <c r="F14" s="12" cm="1">
        <f t="array" ref="F14">_xlfn.IFS(Ratios!$F19&lt;0.5,5,Ratios!$F19&lt;1,4,Ratios!$F19&lt;1.5,3,Ratios!$F19&lt;2.5,2, TRUE,1)</f>
        <v>4</v>
      </c>
      <c r="G14" s="22" cm="1">
        <f t="array" ref="G14">_xlfn.IFS(Ratios!$G19&gt;10,5,Ratios!$G19&gt;5,4,Ratios!$G19&gt;=2,3,Ratios!$G19&gt;=1,2, TRUE,1)</f>
        <v>5</v>
      </c>
      <c r="H14" s="12" cm="1">
        <f t="array" ref="H14">_xlfn.IFS(Ratios!$H19&gt;0.2,5,Ratios!$H19&gt;0.1,4,Ratios!$H19&gt;0.05,3,Ratios!$H19&gt;0.01,2, TRUE, 1)</f>
        <v>5</v>
      </c>
      <c r="I14" s="12" cm="1">
        <f t="array" ref="I14">_xlfn.IFS(Ratios!$I19&gt;0.1,5,Ratios!$I19&gt;0.05,4,Ratios!$I19&gt;0.02,3,Ratios!$I19&gt;0.01,2, TRUE,1)</f>
        <v>4</v>
      </c>
      <c r="J14" s="12" cm="1">
        <f t="array" ref="J14">_xlfn.IFS(Ratios!$J19&gt;0.2,5,Ratios!$J19&gt;0.15,4,Ratios!$J19&gt;0.08,3,Ratios!$J19&gt;0.04,2,TRUE,1)</f>
        <v>3</v>
      </c>
      <c r="K14" s="12" cm="1">
        <f t="array" ref="K14">_xlfn.IFS(Ratios!$K19&gt;1,5,Ratios!$K19&gt;0.7,4,Ratios!$K19&gt;0.5,3,Ratios!$K19&gt;0.3,2,TRUE,1)</f>
        <v>1</v>
      </c>
      <c r="L14" s="13">
        <f t="shared" si="0"/>
        <v>3.55</v>
      </c>
      <c r="M14" s="13" t="str" cm="1">
        <f t="array" ref="M14">_xlfn.IFS($L14&gt;=4.5, "A1", $L14&gt;=4, "A2", $L14&gt;=3.5, "B1", $L14&gt;=3, "B2", $L14&gt;=2.5, "C1", TRUE, "C2")</f>
        <v>B1</v>
      </c>
    </row>
    <row r="15" spans="2:13" x14ac:dyDescent="0.15">
      <c r="B15" s="27" t="s">
        <v>14</v>
      </c>
      <c r="C15" s="12">
        <v>2022</v>
      </c>
      <c r="D15" s="12" cm="1">
        <f t="array" ref="D15">_xlfn.IFS(Ratios!$D20&gt;=3,5,Ratios!$D20&gt;=2,4,Ratios!$D20&gt;=1.5,3,Ratios!$D20&gt;=1,2, TRUE,1)</f>
        <v>4</v>
      </c>
      <c r="E15" s="12" cm="1">
        <f t="array" ref="E15">_xlfn.IFS(Ratios!$E20&gt;=2,5,Ratios!$E20&gt;=1.5,4,Ratios!$E20&gt;=0.5,2, TRUE,1)</f>
        <v>5</v>
      </c>
      <c r="F15" s="12" cm="1">
        <f t="array" ref="F15">_xlfn.IFS(Ratios!$F20&lt;0.5,5,Ratios!$F20&lt;1,4,Ratios!$F20&lt;1.5,3,Ratios!$F20&lt;2.5,2, TRUE,1)</f>
        <v>5</v>
      </c>
      <c r="G15" s="22" cm="1">
        <f t="array" ref="G15">_xlfn.IFS(Ratios!$G20&gt;10,5,Ratios!$G20&gt;5,4,Ratios!$G20&gt;=2,3,Ratios!$G20&gt;=1,2, TRUE,1)</f>
        <v>5</v>
      </c>
      <c r="H15" s="12" cm="1">
        <f t="array" ref="H15">_xlfn.IFS(Ratios!$H20&gt;0.2,5,Ratios!$H20&gt;0.1,4,Ratios!$H20&gt;0.05,3,Ratios!$H20&gt;0.01,2, TRUE, 1)</f>
        <v>4</v>
      </c>
      <c r="I15" s="12" cm="1">
        <f t="array" ref="I15">_xlfn.IFS(Ratios!$I20&gt;0.1,5,Ratios!$I20&gt;0.05,4,Ratios!$I20&gt;0.02,3,Ratios!$I20&gt;0.01,2, TRUE,1)</f>
        <v>4</v>
      </c>
      <c r="J15" s="12" cm="1">
        <f t="array" ref="J15">_xlfn.IFS(Ratios!$J20&gt;0.2,5,Ratios!$J20&gt;0.15,4,Ratios!$J20&gt;0.08,3,Ratios!$J20&gt;0.04,2,TRUE,1)</f>
        <v>3</v>
      </c>
      <c r="K15" s="12" cm="1">
        <f t="array" ref="K15">_xlfn.IFS(Ratios!$K20&gt;1,5,Ratios!$K20&gt;0.7,4,Ratios!$K20&gt;0.5,3,Ratios!$K20&gt;0.3,2,TRUE,1)</f>
        <v>3</v>
      </c>
      <c r="L15" s="13">
        <f t="shared" si="0"/>
        <v>4.2</v>
      </c>
      <c r="M15" s="13" t="str" cm="1">
        <f t="array" ref="M15">_xlfn.IFS($L15&gt;=4.5, "A1", $L15&gt;=4, "A2", $L15&gt;=3.5, "B1", $L15&gt;=3, "B2", $L15&gt;=2.5, "C1", TRUE, "C2")</f>
        <v>A2</v>
      </c>
    </row>
    <row r="16" spans="2:13" x14ac:dyDescent="0.15">
      <c r="B16" s="27"/>
      <c r="C16" s="12">
        <v>2023</v>
      </c>
      <c r="D16" s="12" cm="1">
        <f t="array" ref="D16">_xlfn.IFS(Ratios!$D21&gt;=3,5,Ratios!$D21&gt;=2,4,Ratios!$D21&gt;=1.5,3,Ratios!$D21&gt;=1,2, TRUE,1)</f>
        <v>3</v>
      </c>
      <c r="E16" s="12" cm="1">
        <f t="array" ref="E16">_xlfn.IFS(Ratios!$E21&gt;=2,5,Ratios!$E21&gt;=1.5,4,Ratios!$E21&gt;=0.5,2, TRUE,1)</f>
        <v>4</v>
      </c>
      <c r="F16" s="12" cm="1">
        <f t="array" ref="F16">_xlfn.IFS(Ratios!$F21&lt;0.5,5,Ratios!$F21&lt;1,4,Ratios!$F21&lt;1.5,3,Ratios!$F21&lt;2.5,2, TRUE,1)</f>
        <v>4</v>
      </c>
      <c r="G16" s="22" cm="1">
        <f t="array" ref="G16">_xlfn.IFS(Ratios!$G21&gt;10,5,Ratios!$G21&gt;5,4,Ratios!$G21&gt;=2,3,Ratios!$G21&gt;=1,2, TRUE,1)</f>
        <v>2</v>
      </c>
      <c r="H16" s="12" cm="1">
        <f t="array" ref="H16">_xlfn.IFS(Ratios!$H21&gt;0.2,5,Ratios!$H21&gt;0.1,4,Ratios!$H21&gt;0.05,3,Ratios!$H21&gt;0.01,2, TRUE, 1)</f>
        <v>1</v>
      </c>
      <c r="I16" s="12" cm="1">
        <f t="array" ref="I16">_xlfn.IFS(Ratios!$I21&gt;0.1,5,Ratios!$I21&gt;0.05,4,Ratios!$I21&gt;0.02,3,Ratios!$I21&gt;0.01,2, TRUE,1)</f>
        <v>1</v>
      </c>
      <c r="J16" s="12" cm="1">
        <f t="array" ref="J16">_xlfn.IFS(Ratios!$J21&gt;0.2,5,Ratios!$J21&gt;0.15,4,Ratios!$J21&gt;0.08,3,Ratios!$J21&gt;0.04,2,TRUE,1)</f>
        <v>1</v>
      </c>
      <c r="K16" s="12" cm="1">
        <f t="array" ref="K16">_xlfn.IFS(Ratios!$K21&gt;1,5,Ratios!$K21&gt;0.7,4,Ratios!$K21&gt;0.5,3,Ratios!$K21&gt;0.3,2,TRUE,1)</f>
        <v>2</v>
      </c>
      <c r="L16" s="13">
        <f t="shared" si="0"/>
        <v>2.2000000000000002</v>
      </c>
      <c r="M16" s="13" t="str" cm="1">
        <f t="array" ref="M16">_xlfn.IFS($L16&gt;=4.5, "A1", $L16&gt;=4, "A2", $L16&gt;=3.5, "B1", $L16&gt;=3, "B2", $L16&gt;=2.5, "C1", TRUE, "C2")</f>
        <v>C2</v>
      </c>
    </row>
    <row r="17" spans="2:13" x14ac:dyDescent="0.15">
      <c r="B17" s="27"/>
      <c r="C17" s="12">
        <v>2024</v>
      </c>
      <c r="D17" s="12" cm="1">
        <f t="array" ref="D17">_xlfn.IFS(Ratios!$D22&gt;=3,5,Ratios!$D22&gt;=2,4,Ratios!$D22&gt;=1.5,3,Ratios!$D22&gt;=1,2, TRUE,1)</f>
        <v>4</v>
      </c>
      <c r="E17" s="12" cm="1">
        <f t="array" ref="E17">_xlfn.IFS(Ratios!$E22&gt;=2,5,Ratios!$E22&gt;=1.5,4,Ratios!$E22&gt;=0.5,2, TRUE,1)</f>
        <v>4</v>
      </c>
      <c r="F17" s="12" cm="1">
        <f t="array" ref="F17">_xlfn.IFS(Ratios!$F22&lt;0.5,5,Ratios!$F22&lt;1,4,Ratios!$F22&lt;1.5,3,Ratios!$F22&lt;2.5,2, TRUE,1)</f>
        <v>4</v>
      </c>
      <c r="G17" s="22" cm="1">
        <f t="array" ref="G17">_xlfn.IFS(Ratios!$G22&gt;10,5,Ratios!$G22&gt;5,4,Ratios!$G22&gt;=2,3,Ratios!$G22&gt;=1,2, TRUE,1)</f>
        <v>3</v>
      </c>
      <c r="H17" s="12" cm="1">
        <f t="array" ref="H17">_xlfn.IFS(Ratios!$H22&gt;0.2,5,Ratios!$H22&gt;0.1,4,Ratios!$H22&gt;0.05,3,Ratios!$H22&gt;0.01,2, TRUE, 1)</f>
        <v>2</v>
      </c>
      <c r="I17" s="12" cm="1">
        <f t="array" ref="I17">_xlfn.IFS(Ratios!$I22&gt;0.1,5,Ratios!$I22&gt;0.05,4,Ratios!$I22&gt;0.02,3,Ratios!$I22&gt;0.01,2, TRUE,1)</f>
        <v>2</v>
      </c>
      <c r="J17" s="12" cm="1">
        <f t="array" ref="J17">_xlfn.IFS(Ratios!$J22&gt;0.2,5,Ratios!$J22&gt;0.15,4,Ratios!$J22&gt;0.08,3,Ratios!$J22&gt;0.04,2,TRUE,1)</f>
        <v>1</v>
      </c>
      <c r="K17" s="12" cm="1">
        <f t="array" ref="K17">_xlfn.IFS(Ratios!$K22&gt;1,5,Ratios!$K22&gt;0.7,4,Ratios!$K22&gt;0.5,3,Ratios!$K22&gt;0.3,2,TRUE,1)</f>
        <v>3</v>
      </c>
      <c r="L17" s="13">
        <f t="shared" si="0"/>
        <v>2.85</v>
      </c>
      <c r="M17" s="13" t="str" cm="1">
        <f t="array" ref="M17">_xlfn.IFS($L17&gt;=4.5, "A1", $L17&gt;=4, "A2", $L17&gt;=3.5, "B1", $L17&gt;=3, "B2", $L17&gt;=2.5, "C1", TRUE, "C2")</f>
        <v>C1</v>
      </c>
    </row>
    <row r="18" spans="2:13" x14ac:dyDescent="0.15">
      <c r="B18" s="27" t="s">
        <v>43</v>
      </c>
      <c r="C18" s="12">
        <v>2022</v>
      </c>
      <c r="D18" s="12" cm="1">
        <f t="array" ref="D18">_xlfn.IFS(Ratios!$D23&gt;=3,5,Ratios!$D23&gt;=2,4,Ratios!$D23&gt;=1.5,3,Ratios!$D23&gt;=1,2, TRUE,1)</f>
        <v>2</v>
      </c>
      <c r="E18" s="12" cm="1">
        <f t="array" ref="E18">_xlfn.IFS(Ratios!$E23&gt;=2,5,Ratios!$E23&gt;=1.5,4,Ratios!$E23&gt;=0.5,2, TRUE,1)</f>
        <v>2</v>
      </c>
      <c r="F18" s="12" cm="1">
        <f t="array" ref="F18">_xlfn.IFS(Ratios!$F23&lt;0.5,5,Ratios!$F23&lt;1,4,Ratios!$F23&lt;1.5,3,Ratios!$F23&lt;2.5,2, TRUE,1)</f>
        <v>1</v>
      </c>
      <c r="G18" s="22" cm="1">
        <f t="array" ref="G18">_xlfn.IFS(Ratios!$G23&gt;10,5,Ratios!$G23&gt;5,4,Ratios!$G23&gt;=2,3,Ratios!$G23&gt;=1,2, TRUE,1)</f>
        <v>3</v>
      </c>
      <c r="H18" s="12" cm="1">
        <f t="array" ref="H18">_xlfn.IFS(Ratios!$H23&gt;0.2,5,Ratios!$H23&gt;0.1,4,Ratios!$H23&gt;0.05,3,Ratios!$H23&gt;0.01,2, TRUE, 1)</f>
        <v>5</v>
      </c>
      <c r="I18" s="12" cm="1">
        <f t="array" ref="I18">_xlfn.IFS(Ratios!$I23&gt;0.1,5,Ratios!$I23&gt;0.05,4,Ratios!$I23&gt;0.02,3,Ratios!$I23&gt;0.01,2, TRUE,1)</f>
        <v>2</v>
      </c>
      <c r="J18" s="12" cm="1">
        <f t="array" ref="J18">_xlfn.IFS(Ratios!$J23&gt;0.2,5,Ratios!$J23&gt;0.15,4,Ratios!$J23&gt;0.08,3,Ratios!$J23&gt;0.04,2,TRUE,1)</f>
        <v>3</v>
      </c>
      <c r="K18" s="12" cm="1">
        <f t="array" ref="K18">_xlfn.IFS(Ratios!$K23&gt;1,5,Ratios!$K23&gt;0.7,4,Ratios!$K23&gt;0.5,3,Ratios!$K23&gt;0.3,2,TRUE,1)</f>
        <v>1</v>
      </c>
      <c r="L18" s="13">
        <f t="shared" si="0"/>
        <v>2.6</v>
      </c>
      <c r="M18" s="13" t="str" cm="1">
        <f t="array" ref="M18">_xlfn.IFS($L18&gt;=4.5, "A1", $L18&gt;=4, "A2", $L18&gt;=3.5, "B1", $L18&gt;=3, "B2", $L18&gt;=2.5, "C1", TRUE, "C2")</f>
        <v>C1</v>
      </c>
    </row>
    <row r="19" spans="2:13" x14ac:dyDescent="0.15">
      <c r="B19" s="27"/>
      <c r="C19" s="12">
        <v>2023</v>
      </c>
      <c r="D19" s="12" cm="1">
        <f t="array" ref="D19">_xlfn.IFS(Ratios!$D24&gt;=3,5,Ratios!$D24&gt;=2,4,Ratios!$D24&gt;=1.5,3,Ratios!$D24&gt;=1,2, TRUE,1)</f>
        <v>2</v>
      </c>
      <c r="E19" s="12" cm="1">
        <f t="array" ref="E19">_xlfn.IFS(Ratios!$E24&gt;=2,5,Ratios!$E24&gt;=1.5,4,Ratios!$E24&gt;=0.5,2, TRUE,1)</f>
        <v>2</v>
      </c>
      <c r="F19" s="12" cm="1">
        <f t="array" ref="F19">_xlfn.IFS(Ratios!$F24&lt;0.5,5,Ratios!$F24&lt;1,4,Ratios!$F24&lt;1.5,3,Ratios!$F24&lt;2.5,2, TRUE,1)</f>
        <v>1</v>
      </c>
      <c r="G19" s="22" cm="1">
        <f t="array" ref="G19">_xlfn.IFS(Ratios!$G24&gt;10,5,Ratios!$G24&gt;5,4,Ratios!$G24&gt;=2,3,Ratios!$G24&gt;=1,2, TRUE,1)</f>
        <v>2</v>
      </c>
      <c r="H19" s="12" cm="1">
        <f t="array" ref="H19">_xlfn.IFS(Ratios!$H24&gt;0.2,5,Ratios!$H24&gt;0.1,4,Ratios!$H24&gt;0.05,3,Ratios!$H24&gt;0.01,2, TRUE, 1)</f>
        <v>5</v>
      </c>
      <c r="I19" s="12" cm="1">
        <f t="array" ref="I19">_xlfn.IFS(Ratios!$I24&gt;0.1,5,Ratios!$I24&gt;0.05,4,Ratios!$I24&gt;0.02,3,Ratios!$I24&gt;0.01,2, TRUE,1)</f>
        <v>3</v>
      </c>
      <c r="J19" s="12" cm="1">
        <f t="array" ref="J19">_xlfn.IFS(Ratios!$J24&gt;0.2,5,Ratios!$J24&gt;0.15,4,Ratios!$J24&gt;0.08,3,Ratios!$J24&gt;0.04,2,TRUE,1)</f>
        <v>4</v>
      </c>
      <c r="K19" s="12" cm="1">
        <f t="array" ref="K19">_xlfn.IFS(Ratios!$K24&gt;1,5,Ratios!$K24&gt;0.7,4,Ratios!$K24&gt;0.5,3,Ratios!$K24&gt;0.3,2,TRUE,1)</f>
        <v>1</v>
      </c>
      <c r="L19" s="13">
        <f t="shared" si="0"/>
        <v>2.65</v>
      </c>
      <c r="M19" s="13" t="str" cm="1">
        <f t="array" ref="M19">_xlfn.IFS($L19&gt;=4.5, "A1", $L19&gt;=4, "A2", $L19&gt;=3.5, "B1", $L19&gt;=3, "B2", $L19&gt;=2.5, "C1", TRUE, "C2")</f>
        <v>C1</v>
      </c>
    </row>
    <row r="20" spans="2:13" x14ac:dyDescent="0.15">
      <c r="B20" s="27"/>
      <c r="C20" s="12">
        <v>2024</v>
      </c>
      <c r="D20" s="12" cm="1">
        <f t="array" ref="D20">_xlfn.IFS(Ratios!$D25&gt;=3,5,Ratios!$D25&gt;=2,4,Ratios!$D25&gt;=1.5,3,Ratios!$D25&gt;=1,2, TRUE,1)</f>
        <v>2</v>
      </c>
      <c r="E20" s="12" cm="1">
        <f t="array" ref="E20">_xlfn.IFS(Ratios!$E25&gt;=2,5,Ratios!$E25&gt;=1.5,4,Ratios!$E25&gt;=0.5,2, TRUE,1)</f>
        <v>2</v>
      </c>
      <c r="F20" s="12" cm="1">
        <f t="array" ref="F20">_xlfn.IFS(Ratios!$F25&lt;0.5,5,Ratios!$F25&lt;1,4,Ratios!$F25&lt;1.5,3,Ratios!$F25&lt;2.5,2, TRUE,1)</f>
        <v>1</v>
      </c>
      <c r="G20" s="22" cm="1">
        <f t="array" ref="G20">_xlfn.IFS(Ratios!$G25&gt;10,5,Ratios!$G25&gt;5,4,Ratios!$G25&gt;=2,3,Ratios!$G25&gt;=1,2, TRUE,1)</f>
        <v>1</v>
      </c>
      <c r="H20" s="12" cm="1">
        <f t="array" ref="H20">_xlfn.IFS(Ratios!$H25&gt;0.2,5,Ratios!$H25&gt;0.1,4,Ratios!$H25&gt;0.05,3,Ratios!$H25&gt;0.01,2, TRUE, 1)</f>
        <v>5</v>
      </c>
      <c r="I20" s="12" cm="1">
        <f t="array" ref="I20">_xlfn.IFS(Ratios!$I25&gt;0.1,5,Ratios!$I25&gt;0.05,4,Ratios!$I25&gt;0.02,3,Ratios!$I25&gt;0.01,2, TRUE,1)</f>
        <v>3</v>
      </c>
      <c r="J20" s="12" cm="1">
        <f t="array" ref="J20">_xlfn.IFS(Ratios!$J25&gt;0.2,5,Ratios!$J25&gt;0.15,4,Ratios!$J25&gt;0.08,3,Ratios!$J25&gt;0.04,2,TRUE,1)</f>
        <v>4</v>
      </c>
      <c r="K20" s="12" cm="1">
        <f t="array" ref="K20">_xlfn.IFS(Ratios!$K25&gt;1,5,Ratios!$K25&gt;0.7,4,Ratios!$K25&gt;0.5,3,Ratios!$K25&gt;0.3,2,TRUE,1)</f>
        <v>1</v>
      </c>
      <c r="L20" s="13">
        <f t="shared" si="0"/>
        <v>2.5</v>
      </c>
      <c r="M20" s="13" t="str" cm="1">
        <f t="array" ref="M20">_xlfn.IFS($L20&gt;=4.5, "A1", $L20&gt;=4, "A2", $L20&gt;=3.5, "B1", $L20&gt;=3, "B2", $L20&gt;=2.5, "C1", TRUE, "C2")</f>
        <v>C1</v>
      </c>
    </row>
    <row r="21" spans="2:13" x14ac:dyDescent="0.15">
      <c r="B21" s="27" t="s">
        <v>15</v>
      </c>
      <c r="C21" s="12">
        <v>2022</v>
      </c>
      <c r="D21" s="12" cm="1">
        <f t="array" ref="D21">_xlfn.IFS(Ratios!$D26&gt;=3,5,Ratios!$D26&gt;=2,4,Ratios!$D26&gt;=1.5,3,Ratios!$D26&gt;=1,2, TRUE,1)</f>
        <v>3</v>
      </c>
      <c r="E21" s="12" cm="1">
        <f t="array" ref="E21">_xlfn.IFS(Ratios!$E26&gt;=2,5,Ratios!$E26&gt;=1.5,4,Ratios!$E26&gt;=0.5,2, TRUE,1)</f>
        <v>2</v>
      </c>
      <c r="F21" s="12" cm="1">
        <f t="array" ref="F21">_xlfn.IFS(Ratios!$F26&lt;0.5,5,Ratios!$F26&lt;1,4,Ratios!$F26&lt;1.5,3,Ratios!$F26&lt;2.5,2, TRUE,1)</f>
        <v>4</v>
      </c>
      <c r="G21" s="22" cm="1">
        <f t="array" ref="G21">_xlfn.IFS(Ratios!$G26&gt;10,5,Ratios!$G26&gt;5,4,Ratios!$G26&gt;=2,3,Ratios!$G26&gt;=1,2, TRUE,1)</f>
        <v>5</v>
      </c>
      <c r="H21" s="12" cm="1">
        <f t="array" ref="H21">_xlfn.IFS(Ratios!$H26&gt;0.2,5,Ratios!$H26&gt;0.1,4,Ratios!$H26&gt;0.05,3,Ratios!$H26&gt;0.01,2, TRUE, 1)</f>
        <v>4</v>
      </c>
      <c r="I21" s="12" cm="1">
        <f t="array" ref="I21">_xlfn.IFS(Ratios!$I26&gt;0.1,5,Ratios!$I26&gt;0.05,4,Ratios!$I26&gt;0.02,3,Ratios!$I26&gt;0.01,2, TRUE,1)</f>
        <v>4</v>
      </c>
      <c r="J21" s="12" cm="1">
        <f t="array" ref="J21">_xlfn.IFS(Ratios!$J26&gt;0.2,5,Ratios!$J26&gt;0.15,4,Ratios!$J26&gt;0.08,3,Ratios!$J26&gt;0.04,2,TRUE,1)</f>
        <v>4</v>
      </c>
      <c r="K21" s="12" cm="1">
        <f t="array" ref="K21">_xlfn.IFS(Ratios!$K26&gt;1,5,Ratios!$K26&gt;0.7,4,Ratios!$K26&gt;0.5,3,Ratios!$K26&gt;0.3,2,TRUE,1)</f>
        <v>2</v>
      </c>
      <c r="L21" s="13">
        <f t="shared" si="0"/>
        <v>3.65</v>
      </c>
      <c r="M21" s="13" t="str" cm="1">
        <f t="array" ref="M21">_xlfn.IFS($L21&gt;=4.5, "A1", $L21&gt;=4, "A2", $L21&gt;=3.5, "B1", $L21&gt;=3, "B2", $L21&gt;=2.5, "C1", TRUE, "C2")</f>
        <v>B1</v>
      </c>
    </row>
    <row r="22" spans="2:13" x14ac:dyDescent="0.15">
      <c r="B22" s="27"/>
      <c r="C22" s="12">
        <v>2023</v>
      </c>
      <c r="D22" s="12" cm="1">
        <f t="array" ref="D22">_xlfn.IFS(Ratios!$D27&gt;=3,5,Ratios!$D27&gt;=2,4,Ratios!$D27&gt;=1.5,3,Ratios!$D27&gt;=1,2, TRUE,1)</f>
        <v>2</v>
      </c>
      <c r="E22" s="12" cm="1">
        <f t="array" ref="E22">_xlfn.IFS(Ratios!$E27&gt;=2,5,Ratios!$E27&gt;=1.5,4,Ratios!$E27&gt;=0.5,2, TRUE,1)</f>
        <v>2</v>
      </c>
      <c r="F22" s="12" cm="1">
        <f t="array" ref="F22">_xlfn.IFS(Ratios!$F27&lt;0.5,5,Ratios!$F27&lt;1,4,Ratios!$F27&lt;1.5,3,Ratios!$F27&lt;2.5,2, TRUE,1)</f>
        <v>4</v>
      </c>
      <c r="G22" s="22" cm="1">
        <f t="array" ref="G22">_xlfn.IFS(Ratios!$G27&gt;10,5,Ratios!$G27&gt;5,4,Ratios!$G27&gt;=2,3,Ratios!$G27&gt;=1,2, TRUE,1)</f>
        <v>5</v>
      </c>
      <c r="H22" s="12" cm="1">
        <f t="array" ref="H22">_xlfn.IFS(Ratios!$H27&gt;0.2,5,Ratios!$H27&gt;0.1,4,Ratios!$H27&gt;0.05,3,Ratios!$H27&gt;0.01,2, TRUE, 1)</f>
        <v>4</v>
      </c>
      <c r="I22" s="12" cm="1">
        <f t="array" ref="I22">_xlfn.IFS(Ratios!$I27&gt;0.1,5,Ratios!$I27&gt;0.05,4,Ratios!$I27&gt;0.02,3,Ratios!$I27&gt;0.01,2, TRUE,1)</f>
        <v>4</v>
      </c>
      <c r="J22" s="12" cm="1">
        <f t="array" ref="J22">_xlfn.IFS(Ratios!$J27&gt;0.2,5,Ratios!$J27&gt;0.15,4,Ratios!$J27&gt;0.08,3,Ratios!$J27&gt;0.04,2,TRUE,1)</f>
        <v>4</v>
      </c>
      <c r="K22" s="12" cm="1">
        <f t="array" ref="K22">_xlfn.IFS(Ratios!$K27&gt;1,5,Ratios!$K27&gt;0.7,4,Ratios!$K27&gt;0.5,3,Ratios!$K27&gt;0.3,2,TRUE,1)</f>
        <v>2</v>
      </c>
      <c r="L22" s="13">
        <f t="shared" si="0"/>
        <v>3.55</v>
      </c>
      <c r="M22" s="13" t="str" cm="1">
        <f t="array" ref="M22">_xlfn.IFS($L22&gt;=4.5, "A1", $L22&gt;=4, "A2", $L22&gt;=3.5, "B1", $L22&gt;=3, "B2", $L22&gt;=2.5, "C1", TRUE, "C2")</f>
        <v>B1</v>
      </c>
    </row>
    <row r="23" spans="2:13" x14ac:dyDescent="0.15">
      <c r="B23" s="27"/>
      <c r="C23" s="12">
        <v>2024</v>
      </c>
      <c r="D23" s="12" cm="1">
        <f t="array" ref="D23">_xlfn.IFS(Ratios!$D28&gt;=3,5,Ratios!$D28&gt;=2,4,Ratios!$D28&gt;=1.5,3,Ratios!$D28&gt;=1,2, TRUE,1)</f>
        <v>3</v>
      </c>
      <c r="E23" s="12" cm="1">
        <f t="array" ref="E23">_xlfn.IFS(Ratios!$E28&gt;=2,5,Ratios!$E28&gt;=1.5,4,Ratios!$E28&gt;=0.5,2, TRUE,1)</f>
        <v>4</v>
      </c>
      <c r="F23" s="12" cm="1">
        <f t="array" ref="F23">_xlfn.IFS(Ratios!$F28&lt;0.5,5,Ratios!$F28&lt;1,4,Ratios!$F28&lt;1.5,3,Ratios!$F28&lt;2.5,2, TRUE,1)</f>
        <v>4</v>
      </c>
      <c r="G23" s="22" cm="1">
        <f t="array" ref="G23">_xlfn.IFS(Ratios!$G28&gt;10,5,Ratios!$G28&gt;5,4,Ratios!$G28&gt;=2,3,Ratios!$G28&gt;=1,2, TRUE,1)</f>
        <v>5</v>
      </c>
      <c r="H23" s="12" cm="1">
        <f t="array" ref="H23">_xlfn.IFS(Ratios!$H28&gt;0.2,5,Ratios!$H28&gt;0.1,4,Ratios!$H28&gt;0.05,3,Ratios!$H28&gt;0.01,2, TRUE, 1)</f>
        <v>5</v>
      </c>
      <c r="I23" s="12" cm="1">
        <f t="array" ref="I23">_xlfn.IFS(Ratios!$I28&gt;0.1,5,Ratios!$I28&gt;0.05,4,Ratios!$I28&gt;0.02,3,Ratios!$I28&gt;0.01,2, TRUE,1)</f>
        <v>5</v>
      </c>
      <c r="J23" s="12" cm="1">
        <f t="array" ref="J23">_xlfn.IFS(Ratios!$J28&gt;0.2,5,Ratios!$J28&gt;0.15,4,Ratios!$J28&gt;0.08,3,Ratios!$J28&gt;0.04,2,TRUE,1)</f>
        <v>5</v>
      </c>
      <c r="K23" s="12" cm="1">
        <f t="array" ref="K23">_xlfn.IFS(Ratios!$K28&gt;1,5,Ratios!$K28&gt;0.7,4,Ratios!$K28&gt;0.5,3,Ratios!$K28&gt;0.3,2,TRUE,1)</f>
        <v>2</v>
      </c>
      <c r="L23" s="13">
        <f t="shared" si="0"/>
        <v>4.25</v>
      </c>
      <c r="M23" s="13" t="str" cm="1">
        <f t="array" ref="M23">_xlfn.IFS($L23&gt;=4.5, "A1", $L23&gt;=4, "A2", $L23&gt;=3.5, "B1", $L23&gt;=3, "B2", $L23&gt;=2.5, "C1", TRUE, "C2")</f>
        <v>A2</v>
      </c>
    </row>
    <row r="24" spans="2:13" ht="13" customHeight="1" x14ac:dyDescent="0.15">
      <c r="B24" s="27" t="s">
        <v>16</v>
      </c>
      <c r="C24" s="12">
        <v>2022</v>
      </c>
      <c r="D24" s="12" cm="1">
        <f t="array" ref="D24">_xlfn.IFS(Ratios!$D29&gt;=3,5,Ratios!$D29&gt;=2,4,Ratios!$D29&gt;=1.5,3,Ratios!$D29&gt;=1,2, TRUE,1)</f>
        <v>2</v>
      </c>
      <c r="E24" s="12" cm="1">
        <f t="array" ref="E24">_xlfn.IFS(Ratios!$E29&gt;=2,5,Ratios!$E29&gt;=1.5,4,Ratios!$E29&gt;=0.5,2, TRUE,1)</f>
        <v>2</v>
      </c>
      <c r="F24" s="12" cm="1">
        <f t="array" ref="F24">_xlfn.IFS(Ratios!$F29&lt;0.5,5,Ratios!$F29&lt;1,4,Ratios!$F29&lt;1.5,3,Ratios!$F29&lt;2.5,2, TRUE,1)</f>
        <v>3</v>
      </c>
      <c r="G24" s="22" cm="1">
        <f t="array" ref="G24">_xlfn.IFS(Ratios!$G29&gt;10,5,Ratios!$G29&gt;5,4,Ratios!$G29&gt;=2,3,Ratios!$G29&gt;=1,2, TRUE,1)</f>
        <v>3</v>
      </c>
      <c r="H24" s="12" cm="1">
        <f t="array" ref="H24">_xlfn.IFS(Ratios!$H29&gt;0.2,5,Ratios!$H29&gt;0.1,4,Ratios!$H29&gt;0.05,3,Ratios!$H29&gt;0.01,2, TRUE, 1)</f>
        <v>4</v>
      </c>
      <c r="I24" s="12" cm="1">
        <f t="array" ref="I24">_xlfn.IFS(Ratios!$I29&gt;0.1,5,Ratios!$I29&gt;0.05,4,Ratios!$I29&gt;0.02,3,Ratios!$I29&gt;0.01,2, TRUE,1)</f>
        <v>3</v>
      </c>
      <c r="J24" s="12" cm="1">
        <f t="array" ref="J24">_xlfn.IFS(Ratios!$J29&gt;0.2,5,Ratios!$J29&gt;0.15,4,Ratios!$J29&gt;0.08,3,Ratios!$J29&gt;0.04,2,TRUE,1)</f>
        <v>3</v>
      </c>
      <c r="K24" s="12" cm="1">
        <f t="array" ref="K24">_xlfn.IFS(Ratios!$K29&gt;1,5,Ratios!$K29&gt;0.7,4,Ratios!$K29&gt;0.5,3,Ratios!$K29&gt;0.3,2,TRUE,1)</f>
        <v>2</v>
      </c>
      <c r="L24" s="13">
        <f t="shared" si="0"/>
        <v>2.9</v>
      </c>
      <c r="M24" s="13" t="str" cm="1">
        <f t="array" ref="M24">_xlfn.IFS($L24&gt;=4.5, "A1", $L24&gt;=4, "A2", $L24&gt;=3.5, "B1", $L24&gt;=3, "B2", $L24&gt;=2.5, "C1", TRUE, "C2")</f>
        <v>C1</v>
      </c>
    </row>
    <row r="25" spans="2:13" x14ac:dyDescent="0.15">
      <c r="B25" s="27"/>
      <c r="C25" s="12">
        <v>2023</v>
      </c>
      <c r="D25" s="12" cm="1">
        <f t="array" ref="D25">_xlfn.IFS(Ratios!$D30&gt;=3,5,Ratios!$D30&gt;=2,4,Ratios!$D30&gt;=1.5,3,Ratios!$D30&gt;=1,2, TRUE,1)</f>
        <v>3</v>
      </c>
      <c r="E25" s="12" cm="1">
        <f t="array" ref="E25">_xlfn.IFS(Ratios!$E30&gt;=2,5,Ratios!$E30&gt;=1.5,4,Ratios!$E30&gt;=0.5,2, TRUE,1)</f>
        <v>2</v>
      </c>
      <c r="F25" s="12" cm="1">
        <f t="array" ref="F25">_xlfn.IFS(Ratios!$F30&lt;0.5,5,Ratios!$F30&lt;1,4,Ratios!$F30&lt;1.5,3,Ratios!$F30&lt;2.5,2, TRUE,1)</f>
        <v>4</v>
      </c>
      <c r="G25" s="22" cm="1">
        <f t="array" ref="G25">_xlfn.IFS(Ratios!$G30&gt;10,5,Ratios!$G30&gt;5,4,Ratios!$G30&gt;=2,3,Ratios!$G30&gt;=1,2, TRUE,1)</f>
        <v>4</v>
      </c>
      <c r="H25" s="12" cm="1">
        <f t="array" ref="H25">_xlfn.IFS(Ratios!$H30&gt;0.2,5,Ratios!$H30&gt;0.1,4,Ratios!$H30&gt;0.05,3,Ratios!$H30&gt;0.01,2, TRUE, 1)</f>
        <v>4</v>
      </c>
      <c r="I25" s="12" cm="1">
        <f t="array" ref="I25">_xlfn.IFS(Ratios!$I30&gt;0.1,5,Ratios!$I30&gt;0.05,4,Ratios!$I30&gt;0.02,3,Ratios!$I30&gt;0.01,2, TRUE,1)</f>
        <v>4</v>
      </c>
      <c r="J25" s="12" cm="1">
        <f t="array" ref="J25">_xlfn.IFS(Ratios!$J30&gt;0.2,5,Ratios!$J30&gt;0.15,4,Ratios!$J30&gt;0.08,3,Ratios!$J30&gt;0.04,2,TRUE,1)</f>
        <v>3</v>
      </c>
      <c r="K25" s="12" cm="1">
        <f t="array" ref="K25">_xlfn.IFS(Ratios!$K30&gt;1,5,Ratios!$K30&gt;0.7,4,Ratios!$K30&gt;0.5,3,Ratios!$K30&gt;0.3,2,TRUE,1)</f>
        <v>2</v>
      </c>
      <c r="L25" s="13">
        <f t="shared" si="0"/>
        <v>3.4</v>
      </c>
      <c r="M25" s="13" t="str" cm="1">
        <f t="array" ref="M25">_xlfn.IFS($L25&gt;=4.5, "A1", $L25&gt;=4, "A2", $L25&gt;=3.5, "B1", $L25&gt;=3, "B2", $L25&gt;=2.5, "C1", TRUE, "C2")</f>
        <v>B2</v>
      </c>
    </row>
    <row r="26" spans="2:13" x14ac:dyDescent="0.15">
      <c r="B26" s="27"/>
      <c r="C26" s="12">
        <v>2024</v>
      </c>
      <c r="D26" s="12" cm="1">
        <f t="array" ref="D26">_xlfn.IFS(Ratios!$D31&gt;=3,5,Ratios!$D31&gt;=2,4,Ratios!$D31&gt;=1.5,3,Ratios!$D31&gt;=1,2, TRUE,1)</f>
        <v>3</v>
      </c>
      <c r="E26" s="12" cm="1">
        <f t="array" ref="E26">_xlfn.IFS(Ratios!$E31&gt;=2,5,Ratios!$E31&gt;=1.5,4,Ratios!$E31&gt;=0.5,2, TRUE,1)</f>
        <v>2</v>
      </c>
      <c r="F26" s="12" cm="1">
        <f t="array" ref="F26">_xlfn.IFS(Ratios!$F31&lt;0.5,5,Ratios!$F31&lt;1,4,Ratios!$F31&lt;1.5,3,Ratios!$F31&lt;2.5,2, TRUE,1)</f>
        <v>4</v>
      </c>
      <c r="G26" s="22" cm="1">
        <f t="array" ref="G26">_xlfn.IFS(Ratios!$G31&gt;10,5,Ratios!$G31&gt;5,4,Ratios!$G31&gt;=2,3,Ratios!$G31&gt;=1,2, TRUE,1)</f>
        <v>4</v>
      </c>
      <c r="H26" s="12" cm="1">
        <f t="array" ref="H26">_xlfn.IFS(Ratios!$H31&gt;0.2,5,Ratios!$H31&gt;0.1,4,Ratios!$H31&gt;0.05,3,Ratios!$H31&gt;0.01,2, TRUE, 1)</f>
        <v>4</v>
      </c>
      <c r="I26" s="12" cm="1">
        <f t="array" ref="I26">_xlfn.IFS(Ratios!$I31&gt;0.1,5,Ratios!$I31&gt;0.05,4,Ratios!$I31&gt;0.02,3,Ratios!$I31&gt;0.01,2, TRUE,1)</f>
        <v>4</v>
      </c>
      <c r="J26" s="12" cm="1">
        <f t="array" ref="J26">_xlfn.IFS(Ratios!$J31&gt;0.2,5,Ratios!$J31&gt;0.15,4,Ratios!$J31&gt;0.08,3,Ratios!$J31&gt;0.04,2,TRUE,1)</f>
        <v>3</v>
      </c>
      <c r="K26" s="12" cm="1">
        <f t="array" ref="K26">_xlfn.IFS(Ratios!$K31&gt;1,5,Ratios!$K31&gt;0.7,4,Ratios!$K31&gt;0.5,3,Ratios!$K31&gt;0.3,2,TRUE,1)</f>
        <v>2</v>
      </c>
      <c r="L26" s="13">
        <f t="shared" si="0"/>
        <v>3.4</v>
      </c>
      <c r="M26" s="13" t="str" cm="1">
        <f t="array" ref="M26">_xlfn.IFS($L26&gt;=4.5, "A1", $L26&gt;=4, "A2", $L26&gt;=3.5, "B1", $L26&gt;=3, "B2", $L26&gt;=2.5, "C1", TRUE, "C2")</f>
        <v>B2</v>
      </c>
    </row>
  </sheetData>
  <mergeCells count="21">
    <mergeCell ref="B2:B5"/>
    <mergeCell ref="B9:B11"/>
    <mergeCell ref="C9:C11"/>
    <mergeCell ref="B12:B14"/>
    <mergeCell ref="B15:B17"/>
    <mergeCell ref="B18:B20"/>
    <mergeCell ref="B21:B23"/>
    <mergeCell ref="B24:B26"/>
    <mergeCell ref="M9:M11"/>
    <mergeCell ref="J10:J11"/>
    <mergeCell ref="K10:K11"/>
    <mergeCell ref="L9:L11"/>
    <mergeCell ref="D9:E9"/>
    <mergeCell ref="F9:G9"/>
    <mergeCell ref="H9:J9"/>
    <mergeCell ref="D10:D11"/>
    <mergeCell ref="E10:E11"/>
    <mergeCell ref="F10:F11"/>
    <mergeCell ref="G10:G11"/>
    <mergeCell ref="H10:H11"/>
    <mergeCell ref="I10:I11"/>
  </mergeCells>
  <conditionalFormatting sqref="L12:L26">
    <cfRule type="iconSet" priority="1">
      <iconSet iconSet="3Symbols2">
        <cfvo type="percent" val="0"/>
        <cfvo type="num" val="3" gte="0"/>
        <cfvo type="num" val="4.5"/>
      </iconSet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60A0-B4D2-9A42-A879-0AAE6C8438F1}">
  <dimension ref="B1:M26"/>
  <sheetViews>
    <sheetView zoomScale="90" workbookViewId="0">
      <selection activeCell="E47" sqref="E47"/>
    </sheetView>
  </sheetViews>
  <sheetFormatPr baseColWidth="10" defaultRowHeight="12" x14ac:dyDescent="0.15"/>
  <cols>
    <col min="1" max="1" width="2.1640625" style="1" customWidth="1"/>
    <col min="2" max="2" width="34" style="1" bestFit="1" customWidth="1"/>
    <col min="3" max="4" width="16.33203125" style="1" bestFit="1" customWidth="1"/>
    <col min="5" max="5" width="17.83203125" style="1" customWidth="1"/>
    <col min="6" max="6" width="16.33203125" style="1" bestFit="1" customWidth="1"/>
    <col min="7" max="7" width="19.33203125" style="1" customWidth="1"/>
    <col min="8" max="8" width="15.6640625" style="1" customWidth="1"/>
    <col min="9" max="9" width="13.83203125" style="1" customWidth="1"/>
    <col min="10" max="16384" width="10.83203125" style="1"/>
  </cols>
  <sheetData>
    <row r="1" spans="2:13" ht="16" x14ac:dyDescent="0.2">
      <c r="B1" s="2" t="s">
        <v>107</v>
      </c>
      <c r="C1" s="17" t="s">
        <v>108</v>
      </c>
      <c r="D1" s="10" t="s">
        <v>128</v>
      </c>
      <c r="E1" s="36" t="s">
        <v>109</v>
      </c>
      <c r="F1" s="37"/>
      <c r="G1" s="38"/>
      <c r="H1" s="27" t="s">
        <v>110</v>
      </c>
      <c r="I1" s="27"/>
      <c r="K1" s="10" t="s">
        <v>69</v>
      </c>
      <c r="L1" s="10" t="s">
        <v>70</v>
      </c>
      <c r="M1" s="10" t="s">
        <v>71</v>
      </c>
    </row>
    <row r="2" spans="2:13" ht="12" customHeight="1" x14ac:dyDescent="0.15">
      <c r="B2" s="41" t="s">
        <v>112</v>
      </c>
      <c r="C2" s="17" t="s">
        <v>101</v>
      </c>
      <c r="D2" s="16">
        <v>0.2</v>
      </c>
      <c r="E2" s="45" t="s">
        <v>113</v>
      </c>
      <c r="F2" s="45"/>
      <c r="G2" s="45"/>
      <c r="H2" s="43" t="s">
        <v>118</v>
      </c>
      <c r="I2" s="44"/>
      <c r="K2" s="13" t="s">
        <v>72</v>
      </c>
      <c r="L2" s="13" t="s">
        <v>75</v>
      </c>
      <c r="M2" s="13" t="s">
        <v>78</v>
      </c>
    </row>
    <row r="3" spans="2:13" x14ac:dyDescent="0.15">
      <c r="B3" s="41"/>
      <c r="C3" s="17" t="s">
        <v>102</v>
      </c>
      <c r="D3" s="16">
        <v>0.2</v>
      </c>
      <c r="E3" s="42" t="s">
        <v>114</v>
      </c>
      <c r="F3" s="42"/>
      <c r="G3" s="42"/>
      <c r="H3" s="43" t="s">
        <v>119</v>
      </c>
      <c r="I3" s="44"/>
      <c r="K3" s="13" t="s">
        <v>73</v>
      </c>
      <c r="L3" s="13" t="s">
        <v>76</v>
      </c>
      <c r="M3" s="13" t="s">
        <v>79</v>
      </c>
    </row>
    <row r="4" spans="2:13" x14ac:dyDescent="0.15">
      <c r="B4" s="41"/>
      <c r="C4" s="17" t="s">
        <v>103</v>
      </c>
      <c r="D4" s="16">
        <v>0.3</v>
      </c>
      <c r="E4" s="42" t="s">
        <v>115</v>
      </c>
      <c r="F4" s="42"/>
      <c r="G4" s="42"/>
      <c r="H4" s="43" t="s">
        <v>120</v>
      </c>
      <c r="I4" s="44"/>
      <c r="K4" s="13" t="s">
        <v>74</v>
      </c>
      <c r="L4" s="13" t="s">
        <v>77</v>
      </c>
      <c r="M4" s="13" t="s">
        <v>80</v>
      </c>
    </row>
    <row r="5" spans="2:13" x14ac:dyDescent="0.15">
      <c r="B5" s="41"/>
      <c r="C5" s="17" t="s">
        <v>104</v>
      </c>
      <c r="D5" s="16">
        <v>0.2</v>
      </c>
      <c r="E5" s="42" t="s">
        <v>116</v>
      </c>
      <c r="F5" s="42"/>
      <c r="G5" s="42"/>
      <c r="H5" s="43" t="s">
        <v>121</v>
      </c>
      <c r="I5" s="44"/>
    </row>
    <row r="6" spans="2:13" x14ac:dyDescent="0.15">
      <c r="B6" s="41"/>
      <c r="C6" s="17" t="s">
        <v>105</v>
      </c>
      <c r="D6" s="16">
        <v>0.1</v>
      </c>
      <c r="E6" s="42" t="s">
        <v>117</v>
      </c>
      <c r="F6" s="42"/>
      <c r="G6" s="42"/>
      <c r="H6" s="43" t="s">
        <v>122</v>
      </c>
      <c r="I6" s="44"/>
    </row>
    <row r="7" spans="2:13" x14ac:dyDescent="0.15">
      <c r="B7" s="41"/>
    </row>
    <row r="10" spans="2:13" x14ac:dyDescent="0.15">
      <c r="B10" s="27" t="s">
        <v>35</v>
      </c>
      <c r="C10" s="27" t="s">
        <v>42</v>
      </c>
      <c r="D10" s="27" t="s">
        <v>101</v>
      </c>
      <c r="E10" s="27" t="s">
        <v>102</v>
      </c>
      <c r="F10" s="27" t="s">
        <v>103</v>
      </c>
      <c r="G10" s="39" t="s">
        <v>104</v>
      </c>
      <c r="H10" s="27" t="s">
        <v>105</v>
      </c>
      <c r="I10" s="39" t="s">
        <v>106</v>
      </c>
    </row>
    <row r="11" spans="2:13" x14ac:dyDescent="0.15">
      <c r="B11" s="27"/>
      <c r="C11" s="27"/>
      <c r="D11" s="27"/>
      <c r="E11" s="27"/>
      <c r="F11" s="27"/>
      <c r="G11" s="39"/>
      <c r="H11" s="27"/>
      <c r="I11" s="39"/>
    </row>
    <row r="12" spans="2:13" x14ac:dyDescent="0.15">
      <c r="B12" s="39" t="s">
        <v>123</v>
      </c>
      <c r="C12" s="12">
        <v>2022</v>
      </c>
      <c r="D12" s="13">
        <v>5</v>
      </c>
      <c r="E12" s="13">
        <v>2</v>
      </c>
      <c r="F12" s="13">
        <v>4</v>
      </c>
      <c r="G12" s="13">
        <v>3</v>
      </c>
      <c r="H12" s="13">
        <v>3</v>
      </c>
      <c r="I12" s="13">
        <f>ROUND(0.2*$D12+0.2*$E12+0.3*$F12+0.2*$G12+0.1*$H12,2)</f>
        <v>3.5</v>
      </c>
    </row>
    <row r="13" spans="2:13" x14ac:dyDescent="0.15">
      <c r="B13" s="39"/>
      <c r="C13" s="12">
        <v>2023</v>
      </c>
      <c r="D13" s="13">
        <v>5</v>
      </c>
      <c r="E13" s="13">
        <v>3</v>
      </c>
      <c r="F13" s="13">
        <v>4</v>
      </c>
      <c r="G13" s="13">
        <v>3</v>
      </c>
      <c r="H13" s="13">
        <v>3</v>
      </c>
      <c r="I13" s="13">
        <f t="shared" ref="I13:I26" si="0">ROUND(0.2*$D13+0.2*$E13+0.3*$F13+0.2*$G13+0.1*$H13,2)</f>
        <v>3.7</v>
      </c>
    </row>
    <row r="14" spans="2:13" x14ac:dyDescent="0.15">
      <c r="B14" s="39"/>
      <c r="C14" s="12">
        <v>2024</v>
      </c>
      <c r="D14" s="13">
        <v>5</v>
      </c>
      <c r="E14" s="13">
        <v>3</v>
      </c>
      <c r="F14" s="13">
        <v>4</v>
      </c>
      <c r="G14" s="13">
        <v>3</v>
      </c>
      <c r="H14" s="13">
        <v>3</v>
      </c>
      <c r="I14" s="13">
        <f t="shared" si="0"/>
        <v>3.7</v>
      </c>
    </row>
    <row r="15" spans="2:13" x14ac:dyDescent="0.15">
      <c r="B15" s="39" t="s">
        <v>124</v>
      </c>
      <c r="C15" s="12">
        <v>2022</v>
      </c>
      <c r="D15" s="13">
        <v>4</v>
      </c>
      <c r="E15" s="13">
        <v>3</v>
      </c>
      <c r="F15" s="13">
        <v>5</v>
      </c>
      <c r="G15" s="13">
        <v>5</v>
      </c>
      <c r="H15" s="13">
        <v>3</v>
      </c>
      <c r="I15" s="13">
        <f t="shared" si="0"/>
        <v>4.2</v>
      </c>
    </row>
    <row r="16" spans="2:13" x14ac:dyDescent="0.15">
      <c r="B16" s="39"/>
      <c r="C16" s="12">
        <v>2023</v>
      </c>
      <c r="D16" s="13">
        <v>4</v>
      </c>
      <c r="E16" s="13">
        <v>3</v>
      </c>
      <c r="F16" s="13">
        <v>5</v>
      </c>
      <c r="G16" s="13">
        <v>5</v>
      </c>
      <c r="H16" s="13">
        <v>3</v>
      </c>
      <c r="I16" s="13">
        <f t="shared" si="0"/>
        <v>4.2</v>
      </c>
    </row>
    <row r="17" spans="2:9" x14ac:dyDescent="0.15">
      <c r="B17" s="39"/>
      <c r="C17" s="12">
        <v>2024</v>
      </c>
      <c r="D17" s="13">
        <v>4</v>
      </c>
      <c r="E17" s="13">
        <v>3</v>
      </c>
      <c r="F17" s="13">
        <v>5</v>
      </c>
      <c r="G17" s="13">
        <v>5</v>
      </c>
      <c r="H17" s="13">
        <v>3</v>
      </c>
      <c r="I17" s="13">
        <f t="shared" si="0"/>
        <v>4.2</v>
      </c>
    </row>
    <row r="18" spans="2:9" x14ac:dyDescent="0.15">
      <c r="B18" s="39" t="s">
        <v>125</v>
      </c>
      <c r="C18" s="12">
        <v>2022</v>
      </c>
      <c r="D18" s="13">
        <v>5</v>
      </c>
      <c r="E18" s="13">
        <v>3</v>
      </c>
      <c r="F18" s="13">
        <v>5</v>
      </c>
      <c r="G18" s="13">
        <v>4</v>
      </c>
      <c r="H18" s="13">
        <v>4</v>
      </c>
      <c r="I18" s="13">
        <f t="shared" si="0"/>
        <v>4.3</v>
      </c>
    </row>
    <row r="19" spans="2:9" x14ac:dyDescent="0.15">
      <c r="B19" s="39"/>
      <c r="C19" s="12">
        <v>2023</v>
      </c>
      <c r="D19" s="13">
        <v>5</v>
      </c>
      <c r="E19" s="13">
        <v>3</v>
      </c>
      <c r="F19" s="13">
        <v>5</v>
      </c>
      <c r="G19" s="13">
        <v>4</v>
      </c>
      <c r="H19" s="13">
        <v>4</v>
      </c>
      <c r="I19" s="13">
        <f t="shared" si="0"/>
        <v>4.3</v>
      </c>
    </row>
    <row r="20" spans="2:9" x14ac:dyDescent="0.15">
      <c r="B20" s="39"/>
      <c r="C20" s="12">
        <v>2024</v>
      </c>
      <c r="D20" s="13">
        <v>5</v>
      </c>
      <c r="E20" s="13">
        <v>3</v>
      </c>
      <c r="F20" s="13">
        <v>5</v>
      </c>
      <c r="G20" s="13">
        <v>4</v>
      </c>
      <c r="H20" s="13">
        <v>4</v>
      </c>
      <c r="I20" s="13">
        <f t="shared" si="0"/>
        <v>4.3</v>
      </c>
    </row>
    <row r="21" spans="2:9" x14ac:dyDescent="0.15">
      <c r="B21" s="39" t="s">
        <v>126</v>
      </c>
      <c r="C21" s="12">
        <v>2022</v>
      </c>
      <c r="D21" s="13">
        <v>4</v>
      </c>
      <c r="E21" s="13">
        <v>4</v>
      </c>
      <c r="F21" s="13">
        <v>5</v>
      </c>
      <c r="G21" s="13">
        <v>4</v>
      </c>
      <c r="H21" s="13">
        <v>4</v>
      </c>
      <c r="I21" s="13">
        <f t="shared" si="0"/>
        <v>4.3</v>
      </c>
    </row>
    <row r="22" spans="2:9" x14ac:dyDescent="0.15">
      <c r="B22" s="39"/>
      <c r="C22" s="12">
        <v>2023</v>
      </c>
      <c r="D22" s="13">
        <v>4</v>
      </c>
      <c r="E22" s="13">
        <v>4</v>
      </c>
      <c r="F22" s="13">
        <v>5</v>
      </c>
      <c r="G22" s="13">
        <v>4</v>
      </c>
      <c r="H22" s="13">
        <v>4</v>
      </c>
      <c r="I22" s="13">
        <f t="shared" si="0"/>
        <v>4.3</v>
      </c>
    </row>
    <row r="23" spans="2:9" x14ac:dyDescent="0.15">
      <c r="B23" s="39"/>
      <c r="C23" s="12">
        <v>2024</v>
      </c>
      <c r="D23" s="13">
        <v>4</v>
      </c>
      <c r="E23" s="13">
        <v>4</v>
      </c>
      <c r="F23" s="13">
        <v>5</v>
      </c>
      <c r="G23" s="13">
        <v>4</v>
      </c>
      <c r="H23" s="13">
        <v>4</v>
      </c>
      <c r="I23" s="13">
        <f t="shared" si="0"/>
        <v>4.3</v>
      </c>
    </row>
    <row r="24" spans="2:9" x14ac:dyDescent="0.15">
      <c r="B24" s="39" t="s">
        <v>127</v>
      </c>
      <c r="C24" s="12">
        <v>2022</v>
      </c>
      <c r="D24" s="13">
        <v>4</v>
      </c>
      <c r="E24" s="13">
        <v>4</v>
      </c>
      <c r="F24" s="13">
        <v>3</v>
      </c>
      <c r="G24" s="13">
        <v>4</v>
      </c>
      <c r="H24" s="13">
        <v>3</v>
      </c>
      <c r="I24" s="13">
        <f t="shared" si="0"/>
        <v>3.6</v>
      </c>
    </row>
    <row r="25" spans="2:9" x14ac:dyDescent="0.15">
      <c r="B25" s="39"/>
      <c r="C25" s="12">
        <v>2023</v>
      </c>
      <c r="D25" s="13">
        <v>4</v>
      </c>
      <c r="E25" s="13">
        <v>4</v>
      </c>
      <c r="F25" s="13">
        <v>4</v>
      </c>
      <c r="G25" s="13">
        <v>4</v>
      </c>
      <c r="H25" s="13">
        <v>3</v>
      </c>
      <c r="I25" s="13">
        <f t="shared" si="0"/>
        <v>3.9</v>
      </c>
    </row>
    <row r="26" spans="2:9" x14ac:dyDescent="0.15">
      <c r="B26" s="39"/>
      <c r="C26" s="12">
        <v>2024</v>
      </c>
      <c r="D26" s="13">
        <v>4</v>
      </c>
      <c r="E26" s="13">
        <v>4</v>
      </c>
      <c r="F26" s="13">
        <v>4</v>
      </c>
      <c r="G26" s="13">
        <v>4</v>
      </c>
      <c r="H26" s="13">
        <v>3</v>
      </c>
      <c r="I26" s="13">
        <f t="shared" si="0"/>
        <v>3.9</v>
      </c>
    </row>
  </sheetData>
  <mergeCells count="26">
    <mergeCell ref="H1:I1"/>
    <mergeCell ref="E2:G2"/>
    <mergeCell ref="E3:G3"/>
    <mergeCell ref="E4:G4"/>
    <mergeCell ref="E1:G1"/>
    <mergeCell ref="H2:I2"/>
    <mergeCell ref="H3:I3"/>
    <mergeCell ref="H4:I4"/>
    <mergeCell ref="I10:I11"/>
    <mergeCell ref="B2:B7"/>
    <mergeCell ref="E5:G5"/>
    <mergeCell ref="E6:G6"/>
    <mergeCell ref="H5:I5"/>
    <mergeCell ref="H10:H11"/>
    <mergeCell ref="H6:I6"/>
    <mergeCell ref="B24:B26"/>
    <mergeCell ref="D10:D11"/>
    <mergeCell ref="E10:E11"/>
    <mergeCell ref="F10:F11"/>
    <mergeCell ref="G10:G11"/>
    <mergeCell ref="B10:B11"/>
    <mergeCell ref="C10:C11"/>
    <mergeCell ref="B12:B14"/>
    <mergeCell ref="B15:B17"/>
    <mergeCell ref="B18:B20"/>
    <mergeCell ref="B21:B23"/>
  </mergeCells>
  <conditionalFormatting sqref="I12:I26">
    <cfRule type="iconSet" priority="1">
      <iconSet iconSet="3Symbols2">
        <cfvo type="percent" val="0"/>
        <cfvo type="num" val="3"/>
        <cfvo type="num" val="4.5" gte="0"/>
      </iconSet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70F7-DE4D-EF41-87A3-B41961B704F8}">
  <dimension ref="B1:L37"/>
  <sheetViews>
    <sheetView tabSelected="1" topLeftCell="B2" zoomScale="116" workbookViewId="0">
      <selection activeCell="B31" sqref="B31"/>
    </sheetView>
  </sheetViews>
  <sheetFormatPr baseColWidth="10" defaultRowHeight="12" x14ac:dyDescent="0.15"/>
  <cols>
    <col min="1" max="1" width="2.1640625" style="1" customWidth="1"/>
    <col min="2" max="2" width="27" style="1" customWidth="1"/>
    <col min="3" max="3" width="13.83203125" style="1" bestFit="1" customWidth="1"/>
    <col min="4" max="4" width="11.33203125" style="1" customWidth="1"/>
    <col min="5" max="5" width="10.1640625" style="1" customWidth="1"/>
    <col min="6" max="6" width="11.83203125" style="1" customWidth="1"/>
    <col min="7" max="7" width="11.5" style="1" customWidth="1"/>
    <col min="8" max="16384" width="10.83203125" style="1"/>
  </cols>
  <sheetData>
    <row r="1" spans="2:12" ht="16" x14ac:dyDescent="0.2">
      <c r="B1" s="20" t="s">
        <v>130</v>
      </c>
    </row>
    <row r="3" spans="2:12" x14ac:dyDescent="0.15">
      <c r="B3" s="10" t="s">
        <v>88</v>
      </c>
      <c r="C3" s="13" t="s">
        <v>95</v>
      </c>
      <c r="D3" s="13" t="s">
        <v>96</v>
      </c>
      <c r="E3" s="13" t="s">
        <v>97</v>
      </c>
      <c r="F3" s="13" t="s">
        <v>98</v>
      </c>
      <c r="G3" s="13" t="s">
        <v>99</v>
      </c>
      <c r="H3" s="13" t="s">
        <v>100</v>
      </c>
      <c r="K3" s="21"/>
      <c r="L3" s="21"/>
    </row>
    <row r="4" spans="2:12" x14ac:dyDescent="0.15">
      <c r="B4" s="10" t="s">
        <v>87</v>
      </c>
      <c r="C4" s="13" t="s">
        <v>89</v>
      </c>
      <c r="D4" s="13" t="s">
        <v>90</v>
      </c>
      <c r="E4" s="13" t="s">
        <v>91</v>
      </c>
      <c r="F4" s="13" t="s">
        <v>92</v>
      </c>
      <c r="G4" s="13" t="s">
        <v>93</v>
      </c>
      <c r="H4" s="13" t="s">
        <v>94</v>
      </c>
      <c r="K4" s="19"/>
      <c r="L4" s="19"/>
    </row>
    <row r="5" spans="2:12" x14ac:dyDescent="0.15">
      <c r="K5" s="19"/>
      <c r="L5" s="19"/>
    </row>
    <row r="6" spans="2:12" x14ac:dyDescent="0.15">
      <c r="K6" s="19"/>
      <c r="L6" s="19"/>
    </row>
    <row r="7" spans="2:12" ht="12" customHeight="1" x14ac:dyDescent="0.15">
      <c r="B7" s="27" t="s">
        <v>35</v>
      </c>
      <c r="C7" s="27" t="s">
        <v>42</v>
      </c>
      <c r="D7" s="39" t="s">
        <v>132</v>
      </c>
      <c r="E7" s="39" t="s">
        <v>106</v>
      </c>
      <c r="F7" s="39" t="s">
        <v>130</v>
      </c>
      <c r="G7" s="39" t="s">
        <v>133</v>
      </c>
      <c r="H7" s="39"/>
      <c r="K7" s="19"/>
      <c r="L7" s="19"/>
    </row>
    <row r="8" spans="2:12" x14ac:dyDescent="0.15">
      <c r="B8" s="27"/>
      <c r="C8" s="27"/>
      <c r="D8" s="39"/>
      <c r="E8" s="39"/>
      <c r="F8" s="39"/>
      <c r="G8" s="39"/>
      <c r="H8" s="39"/>
      <c r="K8" s="19"/>
      <c r="L8" s="19"/>
    </row>
    <row r="9" spans="2:12" x14ac:dyDescent="0.15">
      <c r="B9" s="39" t="s">
        <v>123</v>
      </c>
      <c r="C9" s="12">
        <v>2022</v>
      </c>
      <c r="D9" s="13">
        <v>3.45</v>
      </c>
      <c r="E9" s="13">
        <v>3.5</v>
      </c>
      <c r="F9" s="12">
        <f>ROUND(0.6*$D9+0.4*$E9,2)</f>
        <v>3.47</v>
      </c>
      <c r="G9" s="43" t="str" cm="1">
        <f t="array" ref="G9">_xlfn.IFS($F9&gt;=4.5, "A1", $F9&gt;=4, "A2", $F9&gt;=3.5, "B1", $F9&gt;=3, "B2", $F9&gt;=2.5, "C1", TRUE, "C2")</f>
        <v>B2</v>
      </c>
      <c r="H9" s="44"/>
      <c r="K9" s="19"/>
      <c r="L9" s="19"/>
    </row>
    <row r="10" spans="2:12" x14ac:dyDescent="0.15">
      <c r="B10" s="39"/>
      <c r="C10" s="12">
        <v>2023</v>
      </c>
      <c r="D10" s="13">
        <v>3.55</v>
      </c>
      <c r="E10" s="13">
        <v>3.7</v>
      </c>
      <c r="F10" s="12">
        <f t="shared" ref="F10:F23" si="0">ROUND(0.6*$D10+0.4*$E10,2)</f>
        <v>3.61</v>
      </c>
      <c r="G10" s="43" t="str" cm="1">
        <f t="array" ref="G10">_xlfn.IFS($F10&gt;=4.5, "A1", $F10&gt;=4, "A2", $F10&gt;=3.5, "B1", $F10&gt;=3, "B2", $F10&gt;=2.5, "C1", TRUE, "C2")</f>
        <v>B1</v>
      </c>
      <c r="H10" s="44"/>
    </row>
    <row r="11" spans="2:12" x14ac:dyDescent="0.15">
      <c r="B11" s="39"/>
      <c r="C11" s="12">
        <v>2024</v>
      </c>
      <c r="D11" s="13">
        <v>3.55</v>
      </c>
      <c r="E11" s="13">
        <v>3.7</v>
      </c>
      <c r="F11" s="12">
        <f t="shared" si="0"/>
        <v>3.61</v>
      </c>
      <c r="G11" s="43" t="str" cm="1">
        <f t="array" ref="G11">_xlfn.IFS($F11&gt;=4.5, "A1", $F11&gt;=4, "A2", $F11&gt;=3.5, "B1", $F11&gt;=3, "B2", $F11&gt;=2.5, "C1", TRUE, "C2")</f>
        <v>B1</v>
      </c>
      <c r="H11" s="44"/>
    </row>
    <row r="12" spans="2:12" x14ac:dyDescent="0.15">
      <c r="B12" s="39" t="s">
        <v>124</v>
      </c>
      <c r="C12" s="12">
        <v>2022</v>
      </c>
      <c r="D12" s="13">
        <v>4.2</v>
      </c>
      <c r="E12" s="13">
        <v>4.2</v>
      </c>
      <c r="F12" s="12">
        <f t="shared" si="0"/>
        <v>4.2</v>
      </c>
      <c r="G12" s="43" t="str" cm="1">
        <f t="array" ref="G12">_xlfn.IFS($F12&gt;=4.5, "A1", $F12&gt;=4, "A2", $F12&gt;=3.5, "B1", $F12&gt;=3, "B2", $F12&gt;=2.5, "C1", TRUE, "C2")</f>
        <v>A2</v>
      </c>
      <c r="H12" s="44"/>
    </row>
    <row r="13" spans="2:12" x14ac:dyDescent="0.15">
      <c r="B13" s="39"/>
      <c r="C13" s="12">
        <v>2023</v>
      </c>
      <c r="D13" s="13">
        <v>2.2000000000000002</v>
      </c>
      <c r="E13" s="13">
        <v>4.2</v>
      </c>
      <c r="F13" s="12">
        <f t="shared" si="0"/>
        <v>3</v>
      </c>
      <c r="G13" s="43" t="str" cm="1">
        <f t="array" ref="G13">_xlfn.IFS($F13&gt;=4.5, "A1", $F13&gt;=4, "A2", $F13&gt;=3.5, "B1", $F13&gt;=3, "B2", $F13&gt;=2.5, "C1", TRUE, "C2")</f>
        <v>B2</v>
      </c>
      <c r="H13" s="44"/>
    </row>
    <row r="14" spans="2:12" x14ac:dyDescent="0.15">
      <c r="B14" s="39"/>
      <c r="C14" s="12">
        <v>2024</v>
      </c>
      <c r="D14" s="13">
        <v>2.85</v>
      </c>
      <c r="E14" s="13">
        <v>4.2</v>
      </c>
      <c r="F14" s="12">
        <f t="shared" si="0"/>
        <v>3.39</v>
      </c>
      <c r="G14" s="43" t="str" cm="1">
        <f t="array" ref="G14">_xlfn.IFS($F14&gt;=4.5, "A1", $F14&gt;=4, "A2", $F14&gt;=3.5, "B1", $F14&gt;=3, "B2", $F14&gt;=2.5, "C1", TRUE, "C2")</f>
        <v>B2</v>
      </c>
      <c r="H14" s="44"/>
    </row>
    <row r="15" spans="2:12" x14ac:dyDescent="0.15">
      <c r="B15" s="39" t="s">
        <v>125</v>
      </c>
      <c r="C15" s="12">
        <v>2022</v>
      </c>
      <c r="D15" s="13">
        <v>2.6</v>
      </c>
      <c r="E15" s="13">
        <v>4.3</v>
      </c>
      <c r="F15" s="12">
        <f t="shared" si="0"/>
        <v>3.28</v>
      </c>
      <c r="G15" s="43" t="str" cm="1">
        <f t="array" ref="G15">_xlfn.IFS($F15&gt;=4.5, "A1", $F15&gt;=4, "A2", $F15&gt;=3.5, "B1", $F15&gt;=3, "B2", $F15&gt;=2.5, "C1", TRUE, "C2")</f>
        <v>B2</v>
      </c>
      <c r="H15" s="44"/>
    </row>
    <row r="16" spans="2:12" x14ac:dyDescent="0.15">
      <c r="B16" s="39"/>
      <c r="C16" s="12">
        <v>2023</v>
      </c>
      <c r="D16" s="13">
        <v>2.65</v>
      </c>
      <c r="E16" s="13">
        <v>4.3</v>
      </c>
      <c r="F16" s="12">
        <f t="shared" si="0"/>
        <v>3.31</v>
      </c>
      <c r="G16" s="43" t="str" cm="1">
        <f t="array" ref="G16">_xlfn.IFS($F16&gt;=4.5, "A1", $F16&gt;=4, "A2", $F16&gt;=3.5, "B1", $F16&gt;=3, "B2", $F16&gt;=2.5, "C1", TRUE, "C2")</f>
        <v>B2</v>
      </c>
      <c r="H16" s="44"/>
    </row>
    <row r="17" spans="2:10" x14ac:dyDescent="0.15">
      <c r="B17" s="39"/>
      <c r="C17" s="12">
        <v>2024</v>
      </c>
      <c r="D17" s="13">
        <v>2.5</v>
      </c>
      <c r="E17" s="13">
        <v>4.3</v>
      </c>
      <c r="F17" s="12">
        <f t="shared" si="0"/>
        <v>3.22</v>
      </c>
      <c r="G17" s="43" t="str" cm="1">
        <f t="array" ref="G17">_xlfn.IFS($F17&gt;=4.5, "A1", $F17&gt;=4, "A2", $F17&gt;=3.5, "B1", $F17&gt;=3, "B2", $F17&gt;=2.5, "C1", TRUE, "C2")</f>
        <v>B2</v>
      </c>
      <c r="H17" s="44"/>
    </row>
    <row r="18" spans="2:10" x14ac:dyDescent="0.15">
      <c r="B18" s="39" t="s">
        <v>126</v>
      </c>
      <c r="C18" s="12">
        <v>2022</v>
      </c>
      <c r="D18" s="13">
        <v>3.65</v>
      </c>
      <c r="E18" s="13">
        <v>4.3</v>
      </c>
      <c r="F18" s="12">
        <f t="shared" si="0"/>
        <v>3.91</v>
      </c>
      <c r="G18" s="43" t="str" cm="1">
        <f t="array" ref="G18">_xlfn.IFS($F18&gt;=4.5, "A1", $F18&gt;=4, "A2", $F18&gt;=3.5, "B1", $F18&gt;=3, "B2", $F18&gt;=2.5, "C1", TRUE, "C2")</f>
        <v>B1</v>
      </c>
      <c r="H18" s="44"/>
    </row>
    <row r="19" spans="2:10" x14ac:dyDescent="0.15">
      <c r="B19" s="39"/>
      <c r="C19" s="12">
        <v>2023</v>
      </c>
      <c r="D19" s="13">
        <v>3.55</v>
      </c>
      <c r="E19" s="13">
        <v>4.3</v>
      </c>
      <c r="F19" s="12">
        <f t="shared" si="0"/>
        <v>3.85</v>
      </c>
      <c r="G19" s="43" t="str" cm="1">
        <f t="array" ref="G19">_xlfn.IFS($F19&gt;=4.5, "A1", $F19&gt;=4, "A2", $F19&gt;=3.5, "B1", $F19&gt;=3, "B2", $F19&gt;=2.5, "C1", TRUE, "C2")</f>
        <v>B1</v>
      </c>
      <c r="H19" s="44"/>
    </row>
    <row r="20" spans="2:10" x14ac:dyDescent="0.15">
      <c r="B20" s="39"/>
      <c r="C20" s="12">
        <v>2024</v>
      </c>
      <c r="D20" s="13">
        <v>4.25</v>
      </c>
      <c r="E20" s="13">
        <v>4.3</v>
      </c>
      <c r="F20" s="12">
        <f t="shared" si="0"/>
        <v>4.2699999999999996</v>
      </c>
      <c r="G20" s="43" t="str" cm="1">
        <f t="array" ref="G20">_xlfn.IFS($F20&gt;=4.5, "A1", $F20&gt;=4, "A2", $F20&gt;=3.5, "B1", $F20&gt;=3, "B2", $F20&gt;=2.5, "C1", TRUE, "C2")</f>
        <v>A2</v>
      </c>
      <c r="H20" s="44"/>
    </row>
    <row r="21" spans="2:10" x14ac:dyDescent="0.15">
      <c r="B21" s="39" t="s">
        <v>131</v>
      </c>
      <c r="C21" s="12">
        <v>2022</v>
      </c>
      <c r="D21" s="13">
        <v>2.9</v>
      </c>
      <c r="E21" s="13">
        <v>3.6</v>
      </c>
      <c r="F21" s="12">
        <f t="shared" si="0"/>
        <v>3.18</v>
      </c>
      <c r="G21" s="43" t="str" cm="1">
        <f t="array" ref="G21">_xlfn.IFS($F21&gt;=4.5, "A1", $F21&gt;=4, "A2", $F21&gt;=3.5, "B1", $F21&gt;=3, "B2", $F21&gt;=2.5, "C1", TRUE, "C2")</f>
        <v>B2</v>
      </c>
      <c r="H21" s="44"/>
    </row>
    <row r="22" spans="2:10" x14ac:dyDescent="0.15">
      <c r="B22" s="39"/>
      <c r="C22" s="12">
        <v>2023</v>
      </c>
      <c r="D22" s="13">
        <v>3.4</v>
      </c>
      <c r="E22" s="13">
        <v>3.9</v>
      </c>
      <c r="F22" s="12">
        <f t="shared" si="0"/>
        <v>3.6</v>
      </c>
      <c r="G22" s="43" t="str" cm="1">
        <f t="array" ref="G22">_xlfn.IFS($F22&gt;=4.5, "A1", $F22&gt;=4, "A2", $F22&gt;=3.5, "B1", $F22&gt;=3, "B2", $F22&gt;=2.5, "C1", TRUE, "C2")</f>
        <v>B1</v>
      </c>
      <c r="H22" s="44"/>
    </row>
    <row r="23" spans="2:10" x14ac:dyDescent="0.15">
      <c r="B23" s="39"/>
      <c r="C23" s="12">
        <v>2024</v>
      </c>
      <c r="D23" s="13">
        <v>3.4</v>
      </c>
      <c r="E23" s="13">
        <v>3.9</v>
      </c>
      <c r="F23" s="12">
        <f t="shared" si="0"/>
        <v>3.6</v>
      </c>
      <c r="G23" s="43" t="str" cm="1">
        <f t="array" ref="G23">_xlfn.IFS($F23&gt;=4.5, "A1", $F23&gt;=4, "A2", $F23&gt;=3.5, "B1", $F23&gt;=3, "B2", $F23&gt;=2.5, "C1", TRUE, "C2")</f>
        <v>B1</v>
      </c>
      <c r="H23" s="44"/>
    </row>
    <row r="26" spans="2:10" ht="12" customHeight="1" x14ac:dyDescent="0.15">
      <c r="C26" s="27" t="s">
        <v>136</v>
      </c>
      <c r="D26" s="39" t="s">
        <v>137</v>
      </c>
      <c r="E26" s="39" t="s">
        <v>149</v>
      </c>
      <c r="F26" s="39"/>
      <c r="G26" s="39"/>
      <c r="H26" s="39"/>
      <c r="I26" s="46"/>
      <c r="J26" s="24"/>
    </row>
    <row r="27" spans="2:10" ht="12" customHeight="1" x14ac:dyDescent="0.15">
      <c r="C27" s="27"/>
      <c r="D27" s="39"/>
      <c r="E27" s="39"/>
      <c r="F27" s="39"/>
      <c r="G27" s="39"/>
      <c r="H27" s="39"/>
      <c r="I27" s="46"/>
      <c r="J27" s="24"/>
    </row>
    <row r="28" spans="2:10" x14ac:dyDescent="0.15">
      <c r="C28" s="10" t="s">
        <v>138</v>
      </c>
      <c r="D28" s="47">
        <f>AVERAGE(F20,F23)</f>
        <v>3.9349999999999996</v>
      </c>
      <c r="E28" s="30" t="s">
        <v>141</v>
      </c>
      <c r="F28" s="30"/>
      <c r="G28" s="30"/>
      <c r="H28" s="30"/>
      <c r="I28" s="19"/>
      <c r="J28" s="19"/>
    </row>
    <row r="29" spans="2:10" x14ac:dyDescent="0.15">
      <c r="C29" s="10" t="s">
        <v>139</v>
      </c>
      <c r="D29" s="47">
        <f>F11</f>
        <v>3.61</v>
      </c>
      <c r="E29" s="30" t="s">
        <v>142</v>
      </c>
      <c r="F29" s="30"/>
      <c r="G29" s="30"/>
      <c r="H29" s="30"/>
      <c r="I29" s="19"/>
      <c r="J29" s="19"/>
    </row>
    <row r="30" spans="2:10" x14ac:dyDescent="0.15">
      <c r="C30" s="10" t="s">
        <v>153</v>
      </c>
      <c r="D30" s="47">
        <f>F14</f>
        <v>3.39</v>
      </c>
      <c r="E30" s="30" t="s">
        <v>143</v>
      </c>
      <c r="F30" s="30"/>
      <c r="G30" s="30"/>
      <c r="H30" s="30"/>
      <c r="I30" s="19"/>
      <c r="J30" s="19"/>
    </row>
    <row r="31" spans="2:10" x14ac:dyDescent="0.15">
      <c r="C31" s="10" t="s">
        <v>140</v>
      </c>
      <c r="D31" s="47">
        <f>F17</f>
        <v>3.22</v>
      </c>
      <c r="E31" s="30" t="s">
        <v>144</v>
      </c>
      <c r="F31" s="30"/>
      <c r="G31" s="30"/>
      <c r="H31" s="30"/>
      <c r="I31" s="19"/>
      <c r="J31" s="19"/>
    </row>
    <row r="32" spans="2:10" x14ac:dyDescent="0.15">
      <c r="C32" s="21"/>
      <c r="D32" s="19"/>
      <c r="E32" s="19"/>
      <c r="F32" s="19"/>
      <c r="G32" s="19"/>
      <c r="H32" s="25"/>
      <c r="I32" s="19"/>
      <c r="J32" s="19"/>
    </row>
    <row r="33" spans="3:8" x14ac:dyDescent="0.15">
      <c r="C33" s="27" t="s">
        <v>145</v>
      </c>
      <c r="D33" s="39" t="s">
        <v>137</v>
      </c>
      <c r="E33" s="39" t="s">
        <v>149</v>
      </c>
      <c r="F33" s="39"/>
      <c r="G33" s="39"/>
      <c r="H33" s="39"/>
    </row>
    <row r="34" spans="3:8" x14ac:dyDescent="0.15">
      <c r="C34" s="27"/>
      <c r="D34" s="39"/>
      <c r="E34" s="39"/>
      <c r="F34" s="39"/>
      <c r="G34" s="39"/>
      <c r="H34" s="39"/>
    </row>
    <row r="35" spans="3:8" x14ac:dyDescent="0.15">
      <c r="C35" s="10" t="s">
        <v>146</v>
      </c>
      <c r="D35" s="47">
        <f>AVERAGE(F27,F21)</f>
        <v>3.18</v>
      </c>
      <c r="E35" s="30" t="s">
        <v>150</v>
      </c>
      <c r="F35" s="30"/>
      <c r="G35" s="30"/>
      <c r="H35" s="30"/>
    </row>
    <row r="36" spans="3:8" x14ac:dyDescent="0.15">
      <c r="C36" s="10" t="s">
        <v>147</v>
      </c>
      <c r="D36" s="47">
        <f>AVERAGE(F24,F18)</f>
        <v>3.91</v>
      </c>
      <c r="E36" s="30" t="s">
        <v>151</v>
      </c>
      <c r="F36" s="30"/>
      <c r="G36" s="30"/>
      <c r="H36" s="30"/>
    </row>
    <row r="37" spans="3:8" x14ac:dyDescent="0.15">
      <c r="C37" s="10" t="s">
        <v>148</v>
      </c>
      <c r="D37" s="47">
        <f>F30</f>
        <v>0</v>
      </c>
      <c r="E37" s="30" t="s">
        <v>152</v>
      </c>
      <c r="F37" s="30"/>
      <c r="G37" s="30"/>
      <c r="H37" s="30"/>
    </row>
  </sheetData>
  <mergeCells count="40">
    <mergeCell ref="E37:H37"/>
    <mergeCell ref="E31:H31"/>
    <mergeCell ref="C33:C34"/>
    <mergeCell ref="D33:D34"/>
    <mergeCell ref="E33:H34"/>
    <mergeCell ref="E35:H35"/>
    <mergeCell ref="E36:H36"/>
    <mergeCell ref="E28:H28"/>
    <mergeCell ref="E29:H29"/>
    <mergeCell ref="E30:H30"/>
    <mergeCell ref="B21:B23"/>
    <mergeCell ref="D7:D8"/>
    <mergeCell ref="E7:E8"/>
    <mergeCell ref="F7:F8"/>
    <mergeCell ref="G7:H8"/>
    <mergeCell ref="G9:H9"/>
    <mergeCell ref="G10:H10"/>
    <mergeCell ref="G11:H11"/>
    <mergeCell ref="B7:B8"/>
    <mergeCell ref="C7:C8"/>
    <mergeCell ref="B9:B11"/>
    <mergeCell ref="B12:B14"/>
    <mergeCell ref="B15:B17"/>
    <mergeCell ref="B18:B2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I26:I27"/>
    <mergeCell ref="C26:C27"/>
    <mergeCell ref="D26:D27"/>
    <mergeCell ref="E26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 Financials</vt:lpstr>
      <vt:lpstr>2023 Financials</vt:lpstr>
      <vt:lpstr>2024 Financials</vt:lpstr>
      <vt:lpstr>Ratios</vt:lpstr>
      <vt:lpstr>Quantitative Risk</vt:lpstr>
      <vt:lpstr>Qualitative Risk</vt:lpstr>
      <vt:lpstr>Total Risk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Arsen Tagibekov</cp:lastModifiedBy>
  <dcterms:created xsi:type="dcterms:W3CDTF">2025-04-18T14:47:01Z</dcterms:created>
  <dcterms:modified xsi:type="dcterms:W3CDTF">2025-04-19T23:16:41Z</dcterms:modified>
</cp:coreProperties>
</file>